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tabRatio="780" activeTab="3"/>
  </bookViews>
  <sheets>
    <sheet name="SATURS" sheetId="1" r:id="rId1"/>
    <sheet name="8.1. pielikums" sheetId="2" r:id="rId2"/>
    <sheet name="8.2.pielikums" sheetId="3" r:id="rId3"/>
    <sheet name="8.3.pielikums" sheetId="4" r:id="rId4"/>
    <sheet name="8.4.pielikums" sheetId="5" r:id="rId5"/>
    <sheet name="8.5.pielikums" sheetId="6" r:id="rId6"/>
    <sheet name="8.6.pielikums" sheetId="7" r:id="rId7"/>
    <sheet name="8.7.pielikums" sheetId="8" r:id="rId8"/>
    <sheet name="8.8.pielikums" sheetId="9" r:id="rId9"/>
    <sheet name="8.9.pielikums" sheetId="10" r:id="rId10"/>
    <sheet name="8.10. pielikums" sheetId="11" r:id="rId11"/>
    <sheet name="9.pielikums" sheetId="12" r:id="rId12"/>
  </sheets>
  <definedNames>
    <definedName name="_xlfn.SINGLE" hidden="1">#NAME?</definedName>
    <definedName name="_xlfn.TEXTJOIN" hidden="1">#NAME?</definedName>
    <definedName name="_xlnm.Print_Titles" localSheetId="3">'8.3.pielikums'!$8:$9</definedName>
  </definedNames>
  <calcPr fullCalcOnLoad="1"/>
</workbook>
</file>

<file path=xl/sharedStrings.xml><?xml version="1.0" encoding="utf-8"?>
<sst xmlns="http://schemas.openxmlformats.org/spreadsheetml/2006/main" count="513" uniqueCount="385">
  <si>
    <t>SATURS</t>
  </si>
  <si>
    <t>Nosaukums</t>
  </si>
  <si>
    <t xml:space="preserve">Pielikuma Nr. </t>
  </si>
  <si>
    <t>PR pakalpojuma koordinators</t>
  </si>
  <si>
    <t>PR pakalpojuma vadītājs</t>
  </si>
  <si>
    <t>Aprēķina rādītāju pamatojuma skaidrojums</t>
  </si>
  <si>
    <t>Izmaksu nosaukums</t>
  </si>
  <si>
    <t xml:space="preserve">IT speciālists </t>
  </si>
  <si>
    <t>Aplikācija atbalsta grupu tikšanās reizēm attālināti</t>
  </si>
  <si>
    <t>Priekšizpētes grupas tiek nodrošinātas attālināti, vispārīgās un specializētas grupas tiek nodrošinātas abos variantos, t.i. klātienes nodarbības plānots nodrošināt arī attālināti, jo pastāv liela iespēja, ka ne visi dalībnieki varēs tikt klātienē.</t>
  </si>
  <si>
    <t>Vienas grupu nodarbības izmaksas</t>
  </si>
  <si>
    <t>Kopējās izmaksas</t>
  </si>
  <si>
    <t>Grupu nodarbību skaits</t>
  </si>
  <si>
    <t>Sakaru pakalpojumi (telefons, internets)</t>
  </si>
  <si>
    <t>Tulks</t>
  </si>
  <si>
    <t>Noformēšanas mākslinieks</t>
  </si>
  <si>
    <t>Pārņemot Somijas pieredzi, ir daudz noderīgu materiālu, kuru izvietošana LAA mājas lapas sadaļā paplašinās cilvēku rlmi iesaistīties atbalsta grupās un runāt par šo tēmu.Iedzīvinot PR pakalpojumu ir svarīgi, lai cilvēki par to būtu informēti, tāpēc nepieciešams izplatīt informāciju par autismu un iespēju piedalīties atbalsta grupās.</t>
  </si>
  <si>
    <t>Izmaksu nepieciešamības pamatojums</t>
  </si>
  <si>
    <t>Aprēķina skaidrojums</t>
  </si>
  <si>
    <t>Kopējās izmaksas  izmēģinājumprojekta laikā 12 mēnešu periodā</t>
  </si>
  <si>
    <t xml:space="preserve">Bukleti par autismu un PR pakalpojuma saņemšanas iespējām </t>
  </si>
  <si>
    <t xml:space="preserve">Baneri par autismu un PR pakalpojuma saņemšanas iespējām </t>
  </si>
  <si>
    <t>Pēc pieprasījuma sagatavo maketus dažādiem informatīvo materiālu veidiem, t.sk. bukletiem un baneriem, kas paredzēti PR pakalpojuma popularizēšanai.</t>
  </si>
  <si>
    <t xml:space="preserve">Aprēķins  </t>
  </si>
  <si>
    <t>KOPĀ</t>
  </si>
  <si>
    <t xml:space="preserve">Informācijas izplatīšana par autismu un iespējamu dalību PR pakalpojumā </t>
  </si>
  <si>
    <t>Izmaksas vienā mēnesī</t>
  </si>
  <si>
    <t>15.2.pielikums</t>
  </si>
  <si>
    <t>Telpu īre klātienes grupu nodarbībām, kas notiks Rīgā</t>
  </si>
  <si>
    <t>Telpu īre PR pakalpojuma ieviešanas nodrošināšanai</t>
  </si>
  <si>
    <t>Bērnu pieskatītājs vispārējās grupu nodarbībās</t>
  </si>
  <si>
    <t>Bērnu pieskatītājs radošo darbnīcu grupu nodarbībās</t>
  </si>
  <si>
    <t>Tiek piesaistīti klātienes grupu nodarbībās. 30 vispārīgās  grupu nodarbības klātienē (nodarbības ilgums 2h). Katrai grupas nodarbībai tiek piesaistīts viens pieskatītājs brāļiem/māsām un tiek pieņemts, ka pusei no vecākiem būs līdzi arī bērns  - viens pieskatītājs rūpējās par 3 bērniem, vienai grupu nodarbībai (20 dalībnieki) tiek piesaistīti 3 pieskatītāji, kopā tiek piesaistīti 4 pieskatītāji.</t>
  </si>
  <si>
    <t>28 specializētās grupu nodarbības klātienē (nodarbības ilgums 2h), no tām, 16 nodarbības bērniem (stomotoloģija 4 nodarbības un ginekoloģija 12 nodarbības) un 12 nodarbības vecākiem. Katrai grupas nodarbībai an vecākiem, gan bērniem tiek piesaistīts viens pieskatītājs brāļiem/māsām un tiek pieņemts, ka nodarbībās vecākiem pusei no vecākiem būs līdzi arī bērns  - viens pieskatītājs rūpējās par 3 bērniem, vienai grupu nodarbībai (8 dalībnieki) tiek piesaistīts 1 pieskatītājs, kopā tiek piesaistīti 2 pieskatītāji.</t>
  </si>
  <si>
    <t>Transporta izmaksas</t>
  </si>
  <si>
    <t>Radošo darbnīcu darba materiālu izmaksas</t>
  </si>
  <si>
    <t>Izveido LAA mājas lapas sadaļu, uztur un pilnveido to. Tajā tiek ievietoti arī iepriekš sagatavoti mareriāli par autismu. Izveido un uztur datu bāzi.</t>
  </si>
  <si>
    <t>Radošās darbnīcas</t>
  </si>
  <si>
    <t>Supervīziju izmaksas</t>
  </si>
  <si>
    <t>Tiek paredzēti bezlimita sarunu un interneta pieslēgumi PR pakalpojuma vadītājam un PR pakalpojuma koordinatoram. Brīvi pieejams internets jebkurā Latvijas reģionā un neierobežotas sarunas ir nepieciešamas PR pakalpojuma nodrošināšanai.</t>
  </si>
  <si>
    <t>Priekšizpētes grupu</t>
  </si>
  <si>
    <t>nodarbību skaits</t>
  </si>
  <si>
    <t>nodarbību izmaksas</t>
  </si>
  <si>
    <t>Kafijas pauzes vispārīgās atbalsta grupās</t>
  </si>
  <si>
    <t>Kafijas pauzes specializētajās atbalsta grupās</t>
  </si>
  <si>
    <t>Kafijas pauzes radošās darbnīcās</t>
  </si>
  <si>
    <t>Vispārīgās atbalsta grupas</t>
  </si>
  <si>
    <t>Speciālās atbalsta grupas</t>
  </si>
  <si>
    <t>Vispārīgā atbalsta grupa</t>
  </si>
  <si>
    <t>Speciālā atbalsta grupa</t>
  </si>
  <si>
    <r>
      <t xml:space="preserve">Bērnu pieskatītājs speciālajās grupu nodarbībās </t>
    </r>
    <r>
      <rPr>
        <b/>
        <sz val="12"/>
        <rFont val="Times New Roman"/>
        <family val="1"/>
      </rPr>
      <t>bērniem</t>
    </r>
  </si>
  <si>
    <t>24 euro x 28 nodarbības = 672 euro</t>
  </si>
  <si>
    <t>60 euro x 30 nodarbības = 1800 euro</t>
  </si>
  <si>
    <t xml:space="preserve">Telpu īre  klātienes grupu nodarbībām  ārpus Rīgas </t>
  </si>
  <si>
    <t>LAA jau šobrīd izmanto zoom aplikāciju un tās mēneša maksa ir 15.80 euro. Izmēģinājumprojektā plānots turpināt tās izmantošanu.</t>
  </si>
  <si>
    <t>X</t>
  </si>
  <si>
    <t>Priekšizpētes grupa</t>
  </si>
  <si>
    <t>PR pakalpojuma veids</t>
  </si>
  <si>
    <t>Grupu nodarbību kopējais skaits</t>
  </si>
  <si>
    <t>sociālais darbinieks</t>
  </si>
  <si>
    <t>Procentuālais sadalījums pret konkrētā speciālista atlīdzību pa PR pakalpojuma veidiem</t>
  </si>
  <si>
    <t>Sociālais darbinieks</t>
  </si>
  <si>
    <t>Atlīdzības lielums**</t>
  </si>
  <si>
    <t>** Atlīdzības lielums</t>
  </si>
  <si>
    <t>PR pakalpojuma vadītāja, koordinators un sociālā darbinieka atlīdzības aprēķins sadalījumā par PR pakalpojuma veidiem</t>
  </si>
  <si>
    <t xml:space="preserve">atlīdzība par vienu grupu nodarbību </t>
  </si>
  <si>
    <t>Cena pakalpojumam</t>
  </si>
  <si>
    <t>Salīdzinātais pakalpojums</t>
  </si>
  <si>
    <t>Pakalpojuma sniedzējs</t>
  </si>
  <si>
    <t>SIA"Trans-Tur"</t>
  </si>
  <si>
    <t>Mikroautobus līdz 20 ar vienu šoferi dienā.</t>
  </si>
  <si>
    <t>Skaidrojums aprēķinam</t>
  </si>
  <si>
    <t>Ford Transit markas auto noma ar šoferi (17 vietas). Pakalpojuma cena norādīta par dienu. 
Vidējais degvielas patēriņš uz 100 km ir 7.9 litri</t>
  </si>
  <si>
    <t>Mercedes Benz Sprinter markas auto noma ar šoferi (20 vietas). Pakalpojuma cena par dienu.
Vidējais degvielas patēriņš uz 100 km ir 9.2 litri</t>
  </si>
  <si>
    <t>Supervizors, kas sniedz pakalpojumus pašvaldības sociālajiem dienestiem.</t>
  </si>
  <si>
    <t>Rakstiskais tulkojums no angļu valodas. Pakalpojuma cena par vienu lapu.</t>
  </si>
  <si>
    <t>Mācību centrs "Atbalsts"</t>
  </si>
  <si>
    <t>Valodueksperts.lv</t>
  </si>
  <si>
    <t>Polyglot.lv</t>
  </si>
  <si>
    <t>Rakstiskais tulkojums no somu valodas. Pakalpojuma cena par vienu lapu.</t>
  </si>
  <si>
    <t>lkt.lv</t>
  </si>
  <si>
    <t>Tipografijas.lv</t>
  </si>
  <si>
    <t>Labadruka.lv</t>
  </si>
  <si>
    <t>Opus.lv</t>
  </si>
  <si>
    <t>Salīdzināta pakalpojuma cena par 2000 bukletu tirāžu, A4 lapa, divpusēja krāsaina druka</t>
  </si>
  <si>
    <t>Balticprint.lv</t>
  </si>
  <si>
    <t>Bite</t>
  </si>
  <si>
    <t>Tele2</t>
  </si>
  <si>
    <t>Tvnet grupa</t>
  </si>
  <si>
    <t>Salīdzināta cena banerim Giga XL</t>
  </si>
  <si>
    <t xml:space="preserve">Delfi </t>
  </si>
  <si>
    <t>TV3 play</t>
  </si>
  <si>
    <t>Kurzemes plānošanas reģions</t>
  </si>
  <si>
    <t>Zemgales plānošanas reģions</t>
  </si>
  <si>
    <t>Vidzemes plānošanas reģions</t>
  </si>
  <si>
    <t>Jelgavas Sv.Trīsvienības baznīcas Tornis</t>
  </si>
  <si>
    <t>Lielplatones muiža</t>
  </si>
  <si>
    <t>Vilces muiža</t>
  </si>
  <si>
    <t>Zaļenieku muiža</t>
  </si>
  <si>
    <t>Aktivitāšu centrs "Līvbērze"</t>
  </si>
  <si>
    <t>Koprades māja "Skola6"</t>
  </si>
  <si>
    <t>Tukuma Raiņa ģimnācija</t>
  </si>
  <si>
    <t>Ventspils kultūras centrs</t>
  </si>
  <si>
    <t>Ventspils augstskola</t>
  </si>
  <si>
    <t>Bibliotēkas apmācību telpas</t>
  </si>
  <si>
    <t>Tukuma ledushalle</t>
  </si>
  <si>
    <t>Tornīšu zāle Talsos</t>
  </si>
  <si>
    <t xml:space="preserve">Vidzemes augstskola </t>
  </si>
  <si>
    <t>Bauskas novada pašvaldību izglītības iestādes</t>
  </si>
  <si>
    <t>papīrs A1</t>
  </si>
  <si>
    <t>Materiāli</t>
  </si>
  <si>
    <t xml:space="preserve">MK 26.04.2022. noteikumi Nr.262 saime "Pedagoģiskās darbības atbalsts" 33. saime I līmenis, kas atbilst 4. mēnešalgas grupai. Alga mēnesī 880 + DD soc.nod. (23.59%) 207.59 euro = 1087.59 euro.   Stundas likme 1087.59/21 darba diena/ 8h =6.47 euro. </t>
  </si>
  <si>
    <t>MK 26.04.2022 noteikumi Nr.262 –   21. saime 21.1. apakšaime "Datorgrafika un WEB dizains", kas pielīdzināms 8. mēnešalgas grupai. Alga mēnesī 1291 euro + 304.55 euro (DD soc.nodoklis) = 1595.55 euro</t>
  </si>
  <si>
    <t>Tarifs ar bezlimita sarunām un bezlimita internetu</t>
  </si>
  <si>
    <t>Apkopotā informācija par veiktajām tirgus izpētēm</t>
  </si>
  <si>
    <t>Pārvadājumi24.lv</t>
  </si>
  <si>
    <t>SIA “Vita 2”</t>
  </si>
  <si>
    <t>Mercedes Benz Vito vai VW T5 markas mikro autobusu nomu ar šoferi (8 vietas).  Pakalpojuma cenu veido divu šādu auto noma, pakalpojuma cena par dienu.
Vidējais degvielas patēriņš uz 100 km ir 7.2 litri (dīzeļdegviela)</t>
  </si>
  <si>
    <t>Izvēlētā pakalpojuma cena</t>
  </si>
  <si>
    <t xml:space="preserve">Supervīzijas izmaksa ir 22 euro par cilvēku. Supervīzijas grupai ar 6 cilvēkiem cena ir 132 euro. </t>
  </si>
  <si>
    <t>Supervīzijas grupas cena ir 160 euro.</t>
  </si>
  <si>
    <t>Supervizors, kas sniedz pakalpojumu sociālās jomas nozarē un viņam ir pieredzee darbā ar mērķa grupu</t>
  </si>
  <si>
    <t xml:space="preserve">Salīdzinot pakalpojuma cenas, ņemts vērā, ka iekštelpā vienai personai tiek nodrošināts ne mazāk kā 5 m2, līdz ar to atbalsta grupu telpu platība vidēji 60 m2 (par pamatu ņemta MK noteikumu “Epidemioloģiskās drošības pasākumi Covid-19 infekcijas izplatības ierobežošanai” 29.3. punkta vēsturiskā redakcija līdz 28.02.2022) </t>
  </si>
  <si>
    <t>Izmaksu aprēķinam izvēlēta vidējā aritmētiskā cena (226.86 euro/14 pakalpojuma sniedzēji) apskatītajām cenām dažādos Latvijas plānošanas reģionos un četrpdasmit dažāda veida pakalpojumu sniedzējiem.</t>
  </si>
  <si>
    <t>PR pakalpojuma veida - radošo darbnīcu darba materiālu izmaksu aprēķins</t>
  </si>
  <si>
    <t>Tirgus ir piesātināts ar lielu piedāvājumu, tādēļ izmaksu aprēķinam ir izvēlēta zemākā pakalpojuma cena.</t>
  </si>
  <si>
    <t>Plānota 10 000 bukletu drukāšana. Tiek plānots bukletus nodot izplatīšanai ģimenes ārstiem, sociālajiem dienestiem, dažādām valsts un pašvaldību iestādēm, nevalstiskajām organizācijām, kas strādā ar bērniem ar funkcionālajiem traucējumiem (t.sk. AST). Plānojot izmaksas, pieņemts, ka izplatīšanā varētu būt iesaistīti līdz 10% no visiem ģimenes ārstiem, t.i. 120. Sākotnēji katram varētu nodrošināt ap 50 bukletiem, t.i. 6000 kopā.</t>
  </si>
  <si>
    <t>3684.50 euro / 12 mēneši = 307.04 euro mēnesī</t>
  </si>
  <si>
    <t xml:space="preserve">Tulko dažāda veida materiālus no somu un angļu valodas latviešu valodā. Tulks piesaistīts uz izmēģinājumprojekta pirmajiem 6 mēnešiem. Tiek plānota materiālu tulkošana no angļu un somu valodas aptuveni 500 lapu apmērā izmēģinājumprojekta laikā. Pieņemts, ka puse no tām būs materiāli somu valodā un puse angļu valodā. </t>
  </si>
  <si>
    <t>PR pakalpojuma izmaksu pozīcijas</t>
  </si>
  <si>
    <t xml:space="preserve">Kopējās izmaksas </t>
  </si>
  <si>
    <t>Vispārējā atbalsta grupa</t>
  </si>
  <si>
    <t>Atlīdzības izmaksas</t>
  </si>
  <si>
    <t>Īpatsvaru sadalījums grupu nodarbību apjomam               %*</t>
  </si>
  <si>
    <t>PR pakalpojuma vadītājam un koordinatoram</t>
  </si>
  <si>
    <t>sociālajam darbiniekam**</t>
  </si>
  <si>
    <t xml:space="preserve">sociālajam darbiniekam </t>
  </si>
  <si>
    <t xml:space="preserve">*Īpatsvaru sadalījums grupu nodarbību apjomam              </t>
  </si>
  <si>
    <t>PR pakalpojuma vadītājs*</t>
  </si>
  <si>
    <t>PR pakalpojuma koordinators*</t>
  </si>
  <si>
    <t>Sociālais darbinieks*</t>
  </si>
  <si>
    <t>PR pakalpojuma nodrošināšanas kopējās izmaksas pa izmaksu pozīcijām</t>
  </si>
  <si>
    <t>Vienas grupu nodarbības izmaksas/             cena</t>
  </si>
  <si>
    <t>Vienas grupu nodarbības izmaksas/           cena</t>
  </si>
  <si>
    <t>Vienas grupu nodarbības izmaksas/            cena</t>
  </si>
  <si>
    <t>PR pakalpojuma vienas vienības izmaksu /cenas aprēķins</t>
  </si>
  <si>
    <t xml:space="preserve">PR pakalpojuma katra veida vienas vienības izmaksu/cenas aprēķins izmēģinājumprojektam </t>
  </si>
  <si>
    <t>5.8.pielikums</t>
  </si>
  <si>
    <t>Profesionālis - vietējais speciālists***</t>
  </si>
  <si>
    <t>Profesionālis - somu speciālists**</t>
  </si>
  <si>
    <t>Pieredzes eksperts****</t>
  </si>
  <si>
    <t>Administrēšanas izmaksas******</t>
  </si>
  <si>
    <t>Apkopotā informācija par tirgus izpēti PR pakalpojuma atbalsta grupu vadītāju apmācību nodrošināšanai</t>
  </si>
  <si>
    <t>Mērvienība</t>
  </si>
  <si>
    <t>Daudzums</t>
  </si>
  <si>
    <t>Bloks</t>
  </si>
  <si>
    <t>Krāsainie Zīmuļi Art Creation 24 Krāsas</t>
  </si>
  <si>
    <t>Zīmēšanas Bloks A3,  100 loksnes. Puscaurspīdīgas, baltas lapas. Ar speciālu pārklājumu. Īpaši piemērots zīmēšanai ar alkohola bāzes marķieriem.</t>
  </si>
  <si>
    <t>Zīmēšanas Bloks A4, 100 loksnes. Puscaurspīdīgas, baltas lapas. Īpaši piemērots zīmēšanai ar alkohola bāzes marķieriem.</t>
  </si>
  <si>
    <t>Albums</t>
  </si>
  <si>
    <t>Summa</t>
  </si>
  <si>
    <t>Paciņa</t>
  </si>
  <si>
    <t xml:space="preserve">Šķēres </t>
  </si>
  <si>
    <t>Gab</t>
  </si>
  <si>
    <t xml:space="preserve">Dzēšgumijas </t>
  </si>
  <si>
    <t xml:space="preserve">Līmlente </t>
  </si>
  <si>
    <t>Flomāsteri 24 krāsas</t>
  </si>
  <si>
    <t>Materiāli visām astoņām grupas nodarbībām</t>
  </si>
  <si>
    <t>Marķieri/rapitogrāfi 0,5mm</t>
  </si>
  <si>
    <t>Marķieri/rapitogrāfi 1mm</t>
  </si>
  <si>
    <t>Kopā materiāli katrām divām nodarbībām</t>
  </si>
  <si>
    <t>Playdoh plastilīns, vienas krāsas trauks, 141 grams</t>
  </si>
  <si>
    <t>Plastilīns, 10 krāsu iepakojums, 200 grami</t>
  </si>
  <si>
    <t>Papīrs A2</t>
  </si>
  <si>
    <t>aplikācijas papīrs A4, 120 lpp bloks</t>
  </si>
  <si>
    <t>Materiāli vienas grupas katrām divām nodarbībām**</t>
  </si>
  <si>
    <t>Materiāli vienas grupas visām visām astoņām nodarbībām***</t>
  </si>
  <si>
    <t>*Radošo darbnīcu nodarbību virzieni</t>
  </si>
  <si>
    <t>Uz vienu nodarbību attiecināmā izmaksu daļa</t>
  </si>
  <si>
    <t>**Materiāli katrām divām nodarbībām</t>
  </si>
  <si>
    <t>Materiāli nodarbībām, kurā bērni veidos animācijas filmu</t>
  </si>
  <si>
    <t>Kopā materiāli uz vienu nodarbību, kurā bērni veidos animācijas filmu</t>
  </si>
  <si>
    <t>Materiāli nodarbībām, kurās bērni veidos savu komiksu grāmatu un/zīnu (neliela formāta žurnāls)*</t>
  </si>
  <si>
    <t>Kopā materiāli uz vienu nodarbību, kurā bērni gatavo komiksus/zīnus</t>
  </si>
  <si>
    <t>Radošo darbnīcu darba materiālu izmaksas vienai nodarbībai****</t>
  </si>
  <si>
    <t>*** Materiāli astoņām nodarbībām</t>
  </si>
  <si>
    <t>**** Radošo darbnīcu darba materiāluizmaksas vienai nodarbībai</t>
  </si>
  <si>
    <t>PVA rokdarbu līme, balta, 125g</t>
  </si>
  <si>
    <t>Līmzīmulis</t>
  </si>
  <si>
    <t>Skiču Albums A4, 120 lpp</t>
  </si>
  <si>
    <t>Marķieri/rapitogrāfi 0,1mm</t>
  </si>
  <si>
    <t xml:space="preserve"> Nodarbības ilgums katram bērnam ir individuāls, līdz ar to arī materiālu izlietojums būs dažāds. Tiek pieņemts, ka bērns vienā nodarbībā uzsākto darbu pabeigs otrā nodarbībā, tāpēc materiāli tiek plānoti divām nodarbībām. Materiālu daudzums nodarbībai plānots, pieņemot, ka vienā nodarbībā piedalās līdz 16 bērniem. </t>
  </si>
  <si>
    <t>***** Cena</t>
  </si>
  <si>
    <t>Cena*****</t>
  </si>
  <si>
    <t>Vienas apmācību grupu nodarbības izmaksas</t>
  </si>
  <si>
    <t>Apmācību grupu skaits</t>
  </si>
  <si>
    <t>Kafijas pauze</t>
  </si>
  <si>
    <t>Tulko somu speciālista lekciju dažāda veida materiālus no angļu valodas latviešu valodā (secīgā tulkošana). Tulka pakalpojums ir nepieciešams, lai nodrošinātu, ka visi apmācību dalībnieki saprot mācīto un nerodas pārpratumi vai mācības nav lietderīgas nepietiekamas valodas zināšanu trūkuma dēļ.</t>
  </si>
  <si>
    <t>Profesionāļa - somu speciālista ceļa izdevumi</t>
  </si>
  <si>
    <t>Profesionāļa - somu speciālista uzturēšanās izdevumi</t>
  </si>
  <si>
    <t>Profesionālis - somu speciālista atlīdzība</t>
  </si>
  <si>
    <t>**Atbalsta grupu vadītājs - profesionālis - somu speciālists  - veidojot PR pakalpojumu, tiek pārņemta Somijas Autisma apvienības labā prakse, līdz ar to tiek plānots priekšizpētes grupu nodarbībām piesaistīt prfesionāli - somu speciālistu. Somu speciālisti atsūtīja savu pakalpojumu izcenojumu, t.sk. atlīdzību par vienas lekcijas novadīšanu 500 euro apmērā.</t>
  </si>
  <si>
    <t>AirBaltic</t>
  </si>
  <si>
    <t>Skatīti lidojumi no Somijas, Helsinkiem uz Rīgu un atpakaļ.</t>
  </si>
  <si>
    <t>FinAir</t>
  </si>
  <si>
    <t>Scandinavian Airlines</t>
  </si>
  <si>
    <t>Ryanair</t>
  </si>
  <si>
    <t>Viesnīca</t>
  </si>
  <si>
    <t>MONIKA Centrum Hotels</t>
  </si>
  <si>
    <t>AC Hotel by Marriott Riga</t>
  </si>
  <si>
    <t>Radisson Blu Latvija Conference &amp; Spa Hotel, Riga</t>
  </si>
  <si>
    <t>Izvēlētas LAA atrašanās vietai tuvākās viesnīcas (15 minūšu gājienā). Salīdzināta cena par nakti, cena ir par vienvietīgu numuru.</t>
  </si>
  <si>
    <t>Profesionālis - vietējais speciālists</t>
  </si>
  <si>
    <t xml:space="preserve">PR pakalpojuma ieviešanā tiek pārņemta Somijas Autisma apvienības labā prakse, kas ietver ekspertu apmācību un motivēšanu dalīties ar savu pieredzi. Ekspertiem var būt ļoti nozīmīga pieredze un zināšanas, ar kurām dalīties atbalsta grupā, tādējādi palīdzot cilvēkiem, kuri ir līdzīgā situācijā. Diemžēl prasmju trūkums komunikācijā un uzstāšanās jomā var būtiski ietekmēt eksperta sniegtās informācijas uztveramību. </t>
  </si>
  <si>
    <t xml:space="preserve">Veidojot PR pakalpojumu, tiek pārņemta Somijas Autisma apvienības labā prakse, līdz ar to tiek plānots, ka atbalsta grupu vadītāju - līdzinieku apmācības vadīs somu speciālisti, izmantojot Somijas Autisma apvienības  izstrādātu un  praktizētu atbalsta grupu vadītāju apmācību programmu. </t>
  </si>
  <si>
    <t xml:space="preserve">Kopā: </t>
  </si>
  <si>
    <t>Ceļa izdevumi atbalsta grupu vadītājiem</t>
  </si>
  <si>
    <t xml:space="preserve">MK 26.04.2022. noteikumi Nr.262 40.saime "Radošie darbi" I līmenis, kas atbilst 5. mēnešalgas grupai. 
Atlīdzība mēnesī 942 euro + DD soc.nod. (23.59%) 222.22 euro = 1164.22 euro. 
</t>
  </si>
  <si>
    <t>1164.22 euro x 12 mēneši = 13970.64 euro</t>
  </si>
  <si>
    <t xml:space="preserve">PR pakalpojuma vadītājs tiek pielīdzināts projekta vadītājam un saskaņā ar MK 26.04.2022 noteikumiem Nr.262 klasificējas 39.1. apakšsaimē "Projektu vadība un īstenošana" II A līmenī, kam piemērojama – 9. mēnešalgu grupa. Atlīdzība  -  bruto alga 1537 euro + 362.58 euro (DD soc.nodoklis (23.59%)) = 1899.58 euro </t>
  </si>
  <si>
    <t xml:space="preserve">PR pakalpojuma koordinators  saskaņā ar MK 26.04.2022 noteikumiem Nr.262 klasificējas 39.1. apakšsaimē "Projektu vadība un īstenošana" I līmenī, kam piemērojama – 8. mēnešalgu grupa. Atlīdzība -  bruto alga 1291 euro + 304.55 euro (DD soc.nodoklis (23.59%)) = 1595.55 euro </t>
  </si>
  <si>
    <t xml:space="preserve">Sociālais darbinieks saskaņā ar MK 26.04.2022 noteikumiem Nr.262 klasificējas 43.1. apakšaimē "Sociālais darbs" V A līmenī, kam piemērojama – 9. mēnešalgu grupa. Atlīdzība -  bruto alga 1537 euro + 362.58 euro (DD soc.nodoklis (23.59%)) = 1899.58 euro </t>
  </si>
  <si>
    <t>Circle-K</t>
  </si>
  <si>
    <t>Viada</t>
  </si>
  <si>
    <t>Neste</t>
  </si>
  <si>
    <t>Latvijas Nafta</t>
  </si>
  <si>
    <t>Virši</t>
  </si>
  <si>
    <t>Lai aprēķinātu vidējo degvielas cenu, apskatīti 5 lielāko tirgotāju  “Viada”, “Circle K”, “Neste”, “Virši”, “Latvijas Nafta” degvielas cenu piedāvājums (cena uz 14.09.2022). Tā kā uz šo brīdi nav zināmi, kāds autotransports tiks izmantots, tad cenas salīdzināšnai izvēlēta dārgākā degviela, tas ir dīzeļdegviela.</t>
  </si>
  <si>
    <t xml:space="preserve">Minētie pakalpojuma sniedzēji transporta pakalpojumu nodrošina visā Latvijas teriotorijā, tāpēc viņi tika atlasīti tirgus aptaujai.  Ņemot vērā to, ka bērni ir  ar FT, tad ir izvēlēts variants SIA "Vita 2" ar divien autobusiem, lai bērniem ar FT nodrošinātu ātrāku nokļūšanu uz PR pakalpojuma norises vietu.  Viena autobusa noma ir 80 euro/dienā, kopējās izmaksas 160 euro.  Papildu vēl ir nepieciešams nodrošināt degvielas izmaksas, jo pakalpojuma sniedzējs piedāvā tikai autobusu nomu ar šoferi. Vidējais degvielas patēriņš uz 100 km ir 7.2 litri. Tiek pieņemts, ka katrs autobuss nobrauks vidēji 100 km vienā reizē nogādājot dalībniekus uz kārtējo grupu nodarbību.   1 litrs dīzeļdegvielas maksā vidēji 1.811 euro (cena uz 14.09.2022) un 7.2 litri x 1.811 euro = 13.04 euro x 2 autobusi = 26.08 euro, kopējās transporta izmaksas ir 160 euro + 26.08 euro = 186.08 euro.                                                                                           </t>
  </si>
  <si>
    <t>Transporta pakalpojuma vienas grupu nodarbības cena ir 186.08 euro.</t>
  </si>
  <si>
    <t>Ceļa izdevumu atbalsta grupu vadītājiem vienas grupu nodarbības cena ir 43.46 euro.</t>
  </si>
  <si>
    <t>PR pakalpojuma atbalsta grupu vadītāju - līdzinieku apmācības</t>
  </si>
  <si>
    <t>Viena līdzinieka apmācību izmaksas</t>
  </si>
  <si>
    <t>Kopējais apmācāmo līdznieku skaits</t>
  </si>
  <si>
    <t>Telpu īre</t>
  </si>
  <si>
    <t>Apmācību nodarbības ir plānotas klātienē, tā kā apmācību vadītāji dzīvo Somijā un uz apmācību laiku, viņiem vajag nodrošināt izmitināšanu netālu no vietas, kur tiks organizētas apmācību nodarbības.</t>
  </si>
  <si>
    <t>Apmācības plānotas klātienē, tā kā apmācību vadītāji dzīvo Somijā, tad viņiem nepieciešams nodrošināt nokļūšanu uz apmācību norises vietu.</t>
  </si>
  <si>
    <t>PR pakalpojuma atbalsta grupu vadītāju - pieredzes ekspertu apmācības</t>
  </si>
  <si>
    <t>Kopējais apmācāmo pieredzes ekspertu skaits</t>
  </si>
  <si>
    <t>Klātienes nodarbībās plānotas kafijas pauzes, kopā plānotas 138 klātienes nodarbības, t.sk., vispārīgās atbalsta grupas - 30, specializētās atbalsta grupas - 28 un radošās darbnīcas 80 grupas.</t>
  </si>
  <si>
    <t>48 euro x 80 nodarbības = 3840 euro</t>
  </si>
  <si>
    <t>70.48 euro x 96 nodarbības = 6766.08 euro</t>
  </si>
  <si>
    <t xml:space="preserve">96 radošo darbnīcu grupu nodarbības (nodarbības ilgums 5 h). Tiek plānots, ka bērns radošās darbnīcu grupu nodarbībās piedalās pēc savām iespējām un vienas nodarbības ietvaros iesākto darbu tupina nākamajā. </t>
  </si>
  <si>
    <t>Materiālus plānots iegādāties mākslas piederumu interneta veikalā "Zīmulis un ota" vai līdzīgos.</t>
  </si>
  <si>
    <t xml:space="preserve">Tiek pieņemts, ka, lai nodrošinātu kafijas pauzi, uz vienu grupas dalībnieku vienā grupas nodarbībā tiks izlietoti 3 euro. Viena apmācību grupas nodarbība ilgst 2 stundas, līdz ar to tajā tiek plānotas 1 kafijas pauze. Kopā apmācāmi 20 pieredzes eksperti un katram no tiem būs jāpiedalās 4 nodarbībās. 1) Kopējās kafijas pauzes izmaksas ir 240 euro (20 apmācāmie līdzinieki x 4 nodarbības x 3 euro). 2) Uz vienu apmācāmo grupu kafijas pauzes izmaksas ir 60 euro (240 euro dalīts ar 4 apmācību grupām). </t>
  </si>
  <si>
    <t>Viena līdzinieka apmācību izmaksas ir 600 euro (12000 euro atlīdzība somu speciālistiem /20 apmācāmie līdzinieki = 600 euro). Atlīdzība somu speciālistiem ir 12000 euro (3000 euro atlīdzība par vienu apmācāmo grupu x 4 līdzinieku apmācību grupas). Atlīdzība ietvert 5 apmācību nodarbības, katra no tām ilgst 5 stundas. Apmācību vada divi profesionāļi - somu speciālisti. Četrās līdzinieku apmācību grupās plānots apmācīt 20 atbalsta grupu vadītājus - līdziniekus, t.i. katrā apmācību grupā ir pieci apmācāmie.</t>
  </si>
  <si>
    <t xml:space="preserve">Lai veicinātu vecāku iesaistīšanos PR pakalpojumu nodrošināšanā - atbalsta grupu vadīšanā, plānots segt ceļa izdevumus apmācību grupu dalībniekiem, kuri dzīvo ārpus Rīgas. </t>
  </si>
  <si>
    <t>Ceļa izdevumi apmācību grupu dalībniekiem, kuri dzīvo ārpus Rīgas</t>
  </si>
  <si>
    <t xml:space="preserve">Daugavpils - Rīga </t>
  </si>
  <si>
    <t>Liepāja - Rīga</t>
  </si>
  <si>
    <t>Valmiera - Rīga</t>
  </si>
  <si>
    <t>Ventspils - Rīga</t>
  </si>
  <si>
    <t>Lai aprēķinātu vidējo cenu ceļa izdevumiem, kas būs sedzami skatīti starpilsētu autobusu biļetes no tālākām lielajām pilsētām. Biļešu cena ņemta no Rīgas starptautiskās auto ostas mājalapas vietnes "bezrindas.lv". Cena par braucienu turp un atpakaļ.</t>
  </si>
  <si>
    <t>Atlikušais finansējums</t>
  </si>
  <si>
    <r>
      <t xml:space="preserve">PR pakalpojuma nodrošināšanai </t>
    </r>
    <r>
      <rPr>
        <b/>
        <sz val="12"/>
        <color indexed="8"/>
        <rFont val="Times New Roman"/>
        <family val="1"/>
      </rPr>
      <t>nepieciešamais kopējais finansējums</t>
    </r>
  </si>
  <si>
    <r>
      <t xml:space="preserve">PR pakalpojuma nodrošināšanai </t>
    </r>
    <r>
      <rPr>
        <b/>
        <sz val="12"/>
        <color indexed="8"/>
        <rFont val="Times New Roman"/>
        <family val="1"/>
      </rPr>
      <t>līgumā plānotais finansējums</t>
    </r>
  </si>
  <si>
    <t>PR pakalpojuma aprobācijas izmēģinājumprojektā nepieciešamā finansējuma aprēķins</t>
  </si>
  <si>
    <t>Pakalpojuma veids</t>
  </si>
  <si>
    <t>Atbalsta grupu vadītāju - līdzinieku apmācības</t>
  </si>
  <si>
    <t>Atbalsta grupu vadītāju - pieredzes ekspertu apmācības</t>
  </si>
  <si>
    <t>12 mēnešu atlīdzība</t>
  </si>
  <si>
    <t>12 mēneša atlīdzība</t>
  </si>
  <si>
    <t>1) 484.09 euro x 12 mēneši = 5809.08 euro; 2) 5809.08 euro /255 = 22.78 euro</t>
  </si>
  <si>
    <t xml:space="preserve">156.24 euro/mēnesī x 12 mēneši = 1874.88 euro; 2) 1874.88 euro / 58 nodarbības = 32.33 euro </t>
  </si>
  <si>
    <t xml:space="preserve">Supervīzija nodrošināma PR pakalpojuma vadītājam, PR koordinatoram, sociālajam darbiniekam, 20 vispārīgo atbalsta grupu vadītājiem - līdziniekiem un 13 vispārīgo atbalsta grupu vadītājiem - pieredzes ekspertiem, kopā 36 personām tiks nodrošināta supervīzija.Vienā supervīzijas grupas nodarbībā būs 6 dalībnieki, kopā 6 grupas, reizi mēnesī, kopā 12 supervīzijas vienai grupai un vienas supervīzijas nodarbības ilgums ir 2 stundas.  Papildus grupas supervīzijām atbalsta grupu vadītāji nepieciešamības gadījumā var lūgt individuālo supervīziju, bet ne vairāk kā 2 izmēģinājumprojekta laikā. </t>
  </si>
  <si>
    <t>Atlikušā finansējuma īpatsvars</t>
  </si>
  <si>
    <t>*** Atbalsta grupu vadītāju - profesionāļu (vietējie speciālisti) un pieredzes eksperts -  lai nodrošinātu PR pakalpojumu, ir uzrunāti dažādi vietējie speciālisti, tostarp vairāki speciālisti no Bērnu klīniskā universitātes slimnīcas (psihiatrs, ginekoloģe un agrīnās intervences komandas vadītāja), sertificēta ārstniecības persona zobu higiēniste specialitāte no Rīgas Stradiņ universitātes stomatoloģijas institūta, lietišķās uzvedības analīzes (ABA) speciālists. Šie speciālisti ir piekrituši iesaistīties PR pakalpojuma nodrošināšanā. Aptaujājot šos speciālistus, tika iegūta informācija par atlīdzības apmēru.  Radošās darbnīcas vada trīs profesionāļi - vietējie speciālisti, līdz ar to vienas grupu nodarbības cena ir 271.90 euro * 3 profesionāļi = 815.70 euro. 
Tā kā no plānotajām 108 specializēto atbalsta grupu nodarbībām vietējie speciālisti vada 90 nodarbības (83.33%), tad vienas nodarbības cenas aprēķinam piemērota proporcionālā cena 226.58 euro (90 nodarbības *271.90 euro/par nodarbību/ 108 kopējais nodarbību skaits =226.58 euro)</t>
  </si>
  <si>
    <t>**** Atbalsta grupu vadītāju -  pieredzes ekspertu -  veidojot PR pakalpojumu, tiek pārņemta Somijas Autisma apvienības labā prakse, kas paredz motivējošu atlīdzību pieredzes ekspertiem par viņu darbu atbalsta grupu vadīšanā. Šī atlīdzība ir 127.30 euro par nodarbību.
 Tā kā no plānotajām 108 specializēto atbalsta grupu nodarbībām pieredzes eksperti vada 18 nodarbības (16.67%), tad vienas nodarbības cenas aprēķinam ir aprēķināta proporcionālā cena  21.22 euro (18 nodarbības * 127.30 / 108 kopējais nodarbību skaits = 21.22 euro).</t>
  </si>
  <si>
    <t>PR pakalpojuma nodrošināšanā visiem PR pakalpojuma veidiem piedalās PR pakalpojuma vadītājs un koordinators, bet sociālais darbinieks piedalās trīs PR pakalpojumu veidu nodrošināšanā. Kopā izmēģinājumprojekta ietvaros plānots noorganizēt PR pakalpojuma vadītājam un koordinatoram 39 atbalsta grupu un tām novadīt 255 grupu nodarbības, attiecīgi, sociālajam darbiniekam 36 grupas un 252 grupu nodarbības. Atlīdzība minētajiem speciālistiem tiek aprēķināta uz vienu grupu nodarbību. Katram PR pakalpojuma veidam tiek noteikts grupu nodarbību skaita procents no kopējā grupu nodarbību skaita, piemēram, Priekšizpētes grupa - 1% (3 grupu nodarbības no 255 grupu nodarbībām = 1.17% ). Tā kā šie speciālisti nodrošina PR pakalpojuma saņemšanu, tad šis procentuālais sadalījums tiek attiecināts pret konkrētā speciālista atlīdzību konkrētam PR pakalpojuma veidam.</t>
  </si>
  <si>
    <t xml:space="preserve"> IT speciālists strādā uz 0.5 slodzi. 1595.55/2 =797.78 euro/255 nodarbībām = 3.13 euro/nodarbība (3.13 euro x 255 nodarbības = 798.15 euro, noapaļošanas starpība 0.37). </t>
  </si>
  <si>
    <t>31804.08 euro / 255 nodarbības = 124.72 euro (124.72 x 255 nodarbības = 31803.6 euro. Noapaļošanas starpība 0.48. Vienas nodarbības izmaksas noteiktas 124.72</t>
  </si>
  <si>
    <r>
      <t xml:space="preserve">Bērnu pieskatītājs specialajās grupu nodarbībās </t>
    </r>
    <r>
      <rPr>
        <b/>
        <sz val="12"/>
        <rFont val="Times New Roman"/>
        <family val="1"/>
      </rPr>
      <t>vecākiem</t>
    </r>
  </si>
  <si>
    <t>9. pielikums</t>
  </si>
  <si>
    <t>8.9 pielikums</t>
  </si>
  <si>
    <t>8.8. pielikums</t>
  </si>
  <si>
    <t>8.7.pielikums</t>
  </si>
  <si>
    <t>8.6. pielikums</t>
  </si>
  <si>
    <t>8.5. pielikums</t>
  </si>
  <si>
    <t>8.4.pielikums</t>
  </si>
  <si>
    <t>8.3.pielikums</t>
  </si>
  <si>
    <t>8.2.pielikums</t>
  </si>
  <si>
    <t>8.1. pielikums</t>
  </si>
  <si>
    <t>8.1.pielikums</t>
  </si>
  <si>
    <t>8.5.pielikums</t>
  </si>
  <si>
    <t>8.6.pielikums</t>
  </si>
  <si>
    <t>8.8.pielikums</t>
  </si>
  <si>
    <t>8.9.pielikums</t>
  </si>
  <si>
    <t>Veicot tirgus izpēti tika skatīti trīs mobilo operatoru tarifi (LMT, Bite un Tele2), skatīts bezlimita sarunu un interneta tarifs. Vienam pieslēgumam šāds tarifs maksā vidēji 25 euro (detalizētu aprēķinu skatīt. 8.5. pielikuma tabulā).   Sakaru pakalpojumu maksa mēnesī ir 50 euro (ietver divus pieslēgumus).</t>
  </si>
  <si>
    <t>Aprēķins un skaidrojums 8.4. pielikumā.</t>
  </si>
  <si>
    <t xml:space="preserve">Tirgus aptaujas rezultāti un transporta pakalpojuma cenas aprēkins 8.5.pielikumā. </t>
  </si>
  <si>
    <t xml:space="preserve">Tirgus aptaujas rezultāti un ceļa izdevumu atbalsta grupu vadītājiem aprēkins 8.5.pielikumā. </t>
  </si>
  <si>
    <t>Veicot tirgus izpēti aptaujāti speciālisti, kuri sniedz supervīzijas  pakalpojumu sociālajā jomā (skat. 8.5. pielikumu), noskaidrotā supervīziju izmaksa vienai grupai ir 160 euro un individuālajai supervīzijai 45 euro. Supervīzijas ir attiecināmas uz 88 atbalsta grupām (80 vispārīgajām atbalsta grupām un 8 specializētajām atbalsta grupām, kuras vada līdzinieki un/vai eksperti)</t>
  </si>
  <si>
    <t>Radošo darbnīcu darba materiālu izmaksu aprēķinu skatīt. 8.6. pielikumā.</t>
  </si>
  <si>
    <t xml:space="preserve">Veicot tirgus izpēti tika skatītas telpu īres maksas dažādos Latvijas plānošanas reģionos (detalizētu vidējās cenas aprēķinu skatīt 8.5. pielikumā). Vidēji telpu īres maksa ir 16 euro/h par telpu (aptuveni 50 m2). Vienā nodarbībā nepieviešamas 2 telpas (nodarbībai un bērnu pieskatīšanai). Telpu īres maksa 32 euro/h (2 telpas x 16 euro/h). </t>
  </si>
  <si>
    <t>Tirgus izpētes rezultātus skatīt 8.5. pielikumā.  2000 bukletu tirāžas cena ir 368.45 euro  Aprēķins 10 reizes x 368.45 euro  = 3684.5  euro</t>
  </si>
  <si>
    <t>Tirgus izpētes rezultātus skatīt 8.5.pielikumā. Aprēķins - 14.52 euro/diena x 31 diena = 450.12 euro</t>
  </si>
  <si>
    <t>Apmācāmi ir 20 atbalsta grupu vadītāji - līdzinieki, no tiem 8 vadīs vispārīgās atbalsta grupas ārpus Rīgas dažādos reģionos, t.i. 40% no kopējo apmācāmo dalībnieku skaita (8 / 20 x 100 = 40%) (vienas grupas ietvaros, tir ir 2 no 5 dalībniekiem (40% x5 = 2). Šiem apmācību grupu dalībniekiem būs jānokļūst uz apmācību nodarbībām klātienē Rīgā. Aprēķinātas vidēji nosedzamie ceļa izdevumi, kas ir 17.5 eur par braucienu turp un atpakaļ. Tirgus izpētes rezultāts un aprēķina skaidrojumu skatīt 8.9.pielikumā.
Tā kā ceļa izdevumi attiecināmi tikai uz daļu no darbiniekiem, lai aprēķinātu ceļa izdevumus uz vienu apmācību grupu dalībnieku, tie tika proporcionāli samazināti līdz (17.5 euro x 40% = 7 euro). (Pārbaude:  7 euro x 20 apmācību dalībnieki = 140 euro un 140 euro / 17.50 = 8)</t>
  </si>
  <si>
    <t>No 13 apmācītajiem atbalsta grupu vadītājiem - pieredzes ekspertiem 10 vadīs vispārīgās atbalsta grupas, no kurām 8 būs ārpus Rīgas dažādos reģionos. Šiem astoņiem apmācību grupu dalībniekiem būs jānokļūst uz apmācību nodarbībām klātienē Rīgā. Kopumā 8 no 13 apmācāmajiem atbalstu grupu vadītājiem - pieredzes ekspertiem vadīs vispārīgās atbalsta grupas ārpus Rīgas un tie ir 61.54% (8/13 x 100 =61.54%).  Aprēķinātie vidēji nosedzamie ceļa izdevumi vienam atbalsta grupu vadītājam - ekspertam ir 17.5 eur par braucienu turp un atpakaļ. Tirgus izpētes rezultāts un aprēķina skaidrojumu skatīt 8.9.pielikumā. Tā kā ceļa izdevumi attiecināmi tikai uz daļu no atbalsta grupu vadītājiem - ekspertiem, lai aprēķinātu ceļa izdevumus uz vienu apmācību grupu dalībnieku, tie tika proporcionāli samazināti līdz (17.5 euro x 61.54% = 10.77 euro). (Pārbaude:  10.77 euro x 13 apmācību dalībnieki = 140,01 euro un 140 euro / 17.50 = 8).</t>
  </si>
  <si>
    <r>
      <rPr>
        <b/>
        <sz val="12"/>
        <color indexed="8"/>
        <rFont val="Times New Roman"/>
        <family val="1"/>
      </rPr>
      <t xml:space="preserve">Vispārīgo atbalsta grupu </t>
    </r>
    <r>
      <rPr>
        <sz val="12"/>
        <color indexed="8"/>
        <rFont val="Times New Roman"/>
        <family val="1"/>
      </rPr>
      <t>vienas nodarbības izmaksas/             cena</t>
    </r>
  </si>
  <si>
    <r>
      <rPr>
        <b/>
        <sz val="12"/>
        <color indexed="8"/>
        <rFont val="Times New Roman"/>
        <family val="1"/>
      </rPr>
      <t>Specializēto atbalsta grupu</t>
    </r>
    <r>
      <rPr>
        <sz val="12"/>
        <color indexed="8"/>
        <rFont val="Times New Roman"/>
        <family val="1"/>
      </rPr>
      <t xml:space="preserve"> vienas nodarbības izmaksas/             cena</t>
    </r>
  </si>
  <si>
    <t>Ārpus Rīgas kopā plānotas 24 vispārīgās grupu nodarbības (3 stundas = 2 stundas ilgs grupu nodarbība + 1 stunda telpu sagatavošana pirms un pēc nodarbības);  24 nodarbības x 3 stundas = 72 stundas.                                                                                     Ārpus Rīgas kopā plānotas 40 radošo darbnīcu nodarbības (6 stundas = 5 stundas ilgs nodarbība un 1 stunda telpu sagatošana pirms un pēc nodarbības), īrēt nepieciešams 2 telpas (nodarbībai un bērnu pieskatīšanai); 64   nodarbības x 6 stundas =240 stundas</t>
  </si>
  <si>
    <t>64 radošo darbnīcu grupu nodarbības (nodarbības ilgums 5 h). Katrai grupas nodarbībai tiek piesaistīts viens pieskatītājs brāļiem/māsām.</t>
  </si>
  <si>
    <t>PR pakalpojuma ietvaros 40 radošo darbīcu grupu nodarbības un 24 vispārīgo grupu nodarbības tiks organizētas ārpus Rīgas. Tiks nomāts mikro autobuss, lai nogādātu dalībniekus no dzīvesvietas (vai vietas, kas iespējami tuvāk dzīvesvietai) līdz nodarbības norises vietai. Pieņemts, ka viens autobuss vienas nodarbības nodrošināšanas ietvaros nobrauks 100 km un tiks izmantoti divi autobusi, lai bērni uz PR pakalpojumu tiktu nogādāti pēc iespējas ātrāk.</t>
  </si>
  <si>
    <t>PR pakalpojuma ietvaros 40 radošo darbīcu grupu nodarbības un 24 vispārīgo grupu nodarbības tiks organizētas ārpus Rīgas. Atbalsta grupu vadītājiem plānots segt degvielas izdevumus, kas radīsies nokļūstot uz atbalsta grupu nodarbību un atgriežoties no tās. Atbalsta grupu nodarbības vada divi atbalsta grupu vadītāji un radošo darbnīcu nodarbības vada trīs profesionāļi. Tiek pieņemts, ka uz nodarbībām visi grupu vadītāji ierodas ar vienu autotransportu.</t>
  </si>
  <si>
    <t>Telpu īre klātienes grupu nodarbībām, kas notiks Rīgā*</t>
  </si>
  <si>
    <t>Telpu īre  klātienes grupu nodarbībām  ārpus Rīgas *</t>
  </si>
  <si>
    <t>Ceļa izdevumi atbalsta grupu vadītājiem**</t>
  </si>
  <si>
    <t>Transporta izmaksas**</t>
  </si>
  <si>
    <r>
      <rPr>
        <b/>
        <sz val="12"/>
        <color indexed="8"/>
        <rFont val="Times New Roman"/>
        <family val="1"/>
      </rPr>
      <t xml:space="preserve">Vispārīgo atbalsta grupu </t>
    </r>
    <r>
      <rPr>
        <sz val="12"/>
        <color indexed="8"/>
        <rFont val="Times New Roman"/>
        <family val="1"/>
      </rPr>
      <t>vienas nodarbības izmaksas/cena</t>
    </r>
  </si>
  <si>
    <t>Klātiene</t>
  </si>
  <si>
    <r>
      <rPr>
        <b/>
        <sz val="12"/>
        <color indexed="8"/>
        <rFont val="Times New Roman"/>
        <family val="1"/>
      </rPr>
      <t>Specializēto atbalsta grupu</t>
    </r>
    <r>
      <rPr>
        <sz val="12"/>
        <color indexed="8"/>
        <rFont val="Times New Roman"/>
        <family val="1"/>
      </rPr>
      <t xml:space="preserve"> vienas nodarbības izmaksas/cena</t>
    </r>
  </si>
  <si>
    <r>
      <rPr>
        <b/>
        <sz val="12"/>
        <color indexed="8"/>
        <rFont val="Times New Roman"/>
        <family val="1"/>
      </rPr>
      <t>Radošo darbnīcu</t>
    </r>
    <r>
      <rPr>
        <sz val="12"/>
        <color indexed="8"/>
        <rFont val="Times New Roman"/>
        <family val="1"/>
      </rPr>
      <t xml:space="preserve"> vienas nodarbības izmaksas/cena</t>
    </r>
  </si>
  <si>
    <t>Izmaksas, kas attiecināmas uz visu veidu nodarbībām</t>
  </si>
  <si>
    <t>Attālināti</t>
  </si>
  <si>
    <t>Izmaksas, kas attiecināmas uz nodarbībām, kas tiks nodrošinātas klātienē</t>
  </si>
  <si>
    <r>
      <rPr>
        <b/>
        <sz val="12"/>
        <color indexed="8"/>
        <rFont val="Times New Roman"/>
        <family val="1"/>
      </rPr>
      <t>Priekšizpētes grupu</t>
    </r>
    <r>
      <rPr>
        <sz val="12"/>
        <color indexed="8"/>
        <rFont val="Times New Roman"/>
        <family val="1"/>
      </rPr>
      <t xml:space="preserve"> vienas nodarbības izmaksas/cena</t>
    </r>
  </si>
  <si>
    <r>
      <t xml:space="preserve">Bērnu pieskatītājs speciālajās grupu nodarbībās </t>
    </r>
    <r>
      <rPr>
        <b/>
        <sz val="12"/>
        <rFont val="Times New Roman"/>
        <family val="1"/>
      </rPr>
      <t>bērniem</t>
    </r>
    <r>
      <rPr>
        <sz val="12"/>
        <rFont val="Times New Roman"/>
        <family val="1"/>
      </rPr>
      <t>***</t>
    </r>
  </si>
  <si>
    <r>
      <t xml:space="preserve">Bērnu pieskatītājs specialajās grupu nodarbībās </t>
    </r>
    <r>
      <rPr>
        <b/>
        <sz val="12"/>
        <rFont val="Times New Roman"/>
        <family val="1"/>
      </rPr>
      <t>vecākiem</t>
    </r>
    <r>
      <rPr>
        <sz val="12"/>
        <rFont val="Times New Roman"/>
        <family val="1"/>
      </rPr>
      <t>***</t>
    </r>
  </si>
  <si>
    <t>*** Specializētajām grupām kopā plānotas 28 klātienes nodarbības, no tām specializētās grupas nodarbības bērniem ir 16, t.i. 57% un specializētās grupas nodarbības vecākiem ir 12, t.i. 43%. Lai aprēķinātu vienas klātienes nodarbības izmaksu, izmaksa piemērota proporcionāli. Aprēķins: 12.94 euro x 57% = 7.39 eur un 25.88 euro x 43% = 11.09 euro.</t>
  </si>
  <si>
    <t>Administrēšanas izmaksas</t>
  </si>
  <si>
    <t>Kopā****</t>
  </si>
  <si>
    <t xml:space="preserve">**** Salīdzinot šīs vienas nodarbības izmaksas ar 8.1. pielikumu, ir jāņem vērā, ka nesakritības skaitļos veido fakts, ka 8.1. pielikumā ir vidējās izmaksas visu veidu nodarbībām (gan klātienes, gan neklātienes), savukārt šajā pielikumā izmaksas ir izdalītas. </t>
  </si>
  <si>
    <t>8.10 pielikums</t>
  </si>
  <si>
    <t xml:space="preserve">PR pakalpojuma katra veida attālinātās un klātienes nodarbības izmaksu/cenas aprēķins izmēģinājumprojektam </t>
  </si>
  <si>
    <t>8.10.pielikums</t>
  </si>
  <si>
    <t>8. pielikums</t>
  </si>
  <si>
    <t>Vispārīgā atbalsta grupa klātienē</t>
  </si>
  <si>
    <t>Vispārīgā atbalsta grupa attālināti</t>
  </si>
  <si>
    <t>Specializētā atbalsta grupa klātienē</t>
  </si>
  <si>
    <t>Specializētā atbalsta grupa attālināti</t>
  </si>
  <si>
    <t>Radošās darbnīcas klātienē</t>
  </si>
  <si>
    <t>Priekšizpētes grupas attālināti</t>
  </si>
  <si>
    <t>Klātienes nodarbībām</t>
  </si>
  <si>
    <t>Neklātienes nodarbībām</t>
  </si>
  <si>
    <t>9.pielikums</t>
  </si>
  <si>
    <t>1. nodevums 
Sākotnējais ziņojums “Psihosociālās rehabilitācijas pakalpojuma 
bērniem ar funkcionāliem traucējumiem un 
viņu likumiskajiem pārstāvjiem vai audžuģimenei apraksts”</t>
  </si>
  <si>
    <t>*PR pakalpojuma vadītāja, koordinatora un sociālā darbinieka detalizēts vienas grupu nodarbības izmaksu/cenas aprēkins 8.2.pielikumā.</t>
  </si>
  <si>
    <t>***** Ar PR pakalpojuma prasību nodrošināšanu un uzturēšanu saistīto izmaksu detalizēts vienas grupu nodarbības izmaksu/cenas aprēkins 8.3.; 8.4.; 8.5. un 8.6.pielikumā.</t>
  </si>
  <si>
    <t>******  Pamatojoties uz Sociālo pakalpojumu un sociālās palīdzības likuma 13. panta otrās daļas 3 prim punktu, aprēķinot PR pakalpojuma vienas vienības izmaksas izmēģinājumprojektam, tiek pieņemts, ka administrēšanas izdevumiem tiek novirzīti 10 % no kopējām aprēķinātajām atlīdzības izmaksām pakalpojuma nodrošināšanā iesaistītajiem speciālistiem nn ar PR pakalpojuma prasību nodrošināšanu saistītās izmaksas. Administrēšanas izdevumus pakalpojumu sniedzējs var novirzīt atalgojumam (grāmatvedis, finansists), komunālajiem pakalpojumiem un telpu īrei, sakaru pakalpojumiem, degvielai, biroja un kancelejas precēm utt., respektīvi visiem izdevumiem, kas rodas, lai nodrošinātu attiecīgā pakalpojuma administrēšanu.</t>
  </si>
  <si>
    <t>Ar PR pakalpojuma  prasību nodrošināšanu saistītās izmaksas*****</t>
  </si>
  <si>
    <t>Ar PR pakalpojuma  prasību nodrošināšanu saistītās izmaksas</t>
  </si>
  <si>
    <t>LMT</t>
  </si>
  <si>
    <t xml:space="preserve">LAA savā darbībā izmanto Tele 2 pakalpojumus un ir pārliecinājusies par pakalpojuma sniedzēja sniegtā sakaru pakalpojumu labo kvalitāti, tādēļ arī izmēģinājumprojekta ietvaros tiks izmantots šis pakalpojuma sniedzējs. </t>
  </si>
  <si>
    <t xml:space="preserve">Kompensējamās degvielas aprēķins ir nobrauktais attālums reizināts degvielas patēriņu uz 100 km un reizināts ar degvielas cenu. Lai veiktu aprēķinu, tiek izdarīti šādi pieņēmumi. Autotransporta vidējais degvielas patēriņš ir 10 litri uz 100 km. Autotransports izmanto dārgāko degvielu t.i. dīzeļdegvielu, kuras vidējā cena ir 1.811 euro litrā. Tā kā  attālums līdz nodarbības vietai ir atkarīgs no tā, kā sakomplektēs atbalsta grupas, t.i. kura vieta (pilsēta) būs piemērotākā nodarbību norisei, tad, lai aprēķinātu ceļa izdevumus, tiek pieņemts, ka vidējais nobraucamais attālums būs puse no garākā iespējamā brauciena. Pēc attāluma tālākā pilsēta, kurā varētu komplektēt atbalsta grupu ir Daugavpilij (attālums no Rīgas līdz Daugavpilija ir 230 km, turp un atpakaļ brauciens ir 480 km (230 km x 2 virzieni). Vidējais nobraucamais attālums būs 240 km (490 km / 2). Ceļa izdevumi ir 43.46 euro, (240 km x 10litri/100 km x 1.811 euro/litrs). </t>
  </si>
  <si>
    <t>Tirgū cenas dažādās nozarēs var būtiski atšķirties. Tirgus specifisks, pakalpojumu sniedz šaurs loks sertificētu ekspertu. Līdz ar to izmaksām piemērota maksimālā noskaidrotā cena. Grupas supervīzijas plānots organizēt 8 mēnešus, laiks, kad faktiski atbalsta grupu vadītāji uzsāk vadīt atbalsta grupu nodarbības. Pakalpojumam izvēlēta lielākā cena.
Papildus grupas supervīzijām atbalsta grupu vadītāji katrs var palūgt individuālo supervīziju, bet ne vairāk kā divas izmēģinājumprojekta laikā. Tā kā supervīzijas nodrošina 20 atbalsta grupu vadītājiem, kuri vadīs atbalsta grupas, tad izmaksās ietveramas 40 individuālās supervīzijas. Vienas individuālās supervīzijas cena ir 45 euro un tā ilgst 1 stundu. Izmaksās papildus ietverts 1800 euro (40 individuālās supervīzijas x 45 individuālās supervīzijas cena).</t>
  </si>
  <si>
    <t>LAA savā darbībā bieži ir izmantojusi mācību centra "Atbalsts" pakalpojumus un pārliecinājusies, ka minētajam pakalpojuma sniedzējam ir pieredze specifisku tekstu tulkošanā, kas saistīta ar mērķa grupu. Līdz ar to izmēģinājumprojektā tiks izmantoti šī pakalpojuma sniedzēja pakalpojumi.</t>
  </si>
  <si>
    <t>Pakalpojuma sniedzējam Tipografija.lv ir plašāks piedāvātais sortiments un iespēja izvēlēties dažādus bukletu variantus, līdz ar to ir izvēlēta minētā pakalpojuma cena.</t>
  </si>
  <si>
    <t xml:space="preserve">Radošo darbnīcu nodarbībās bērni darboties divos virzienos: gatavos komiksus vai veidos animācijas filmas. Tiek pieņemts, ka darbību virzieni nodarbībās kopumā sadalīsies līdzvērtīgi. Kopā radošām darbnīcām plānotas 96 nodarbības, no tām 48 nodarbībās bērns zīmēs komiksuss, bet 48 nodarbībās veidos animācijas filmas. </t>
  </si>
  <si>
    <t xml:space="preserve">Vienā grupā tiek plānotas astoņas nodarbības. Radošo darbnīcu nodarbībās, kurās tiek veidoti komiksi, plānots izmantot materiālus, kuri būs noderīgi visām šīs grupas nodarbībām. </t>
  </si>
  <si>
    <t>Lai aprēķinātu radošo darbnīcu darba materiālu izmaksas vienai nodarbība, ir jāsaskaita kopā materiāli uz vienu nodarbību, kurā bērni veidos komiksuss, un materiāli uz vienu nodarbību, kurā bērni veidos animācijas filmu,  un rezultāts ir jādala ar divi.</t>
  </si>
  <si>
    <t>Pakalpojuma izmaksu aprēķinam izvēlēta vidējā aritmētiskā cena autobusu biļetēm turp un atpakaļ, t.i. 17.35 euro. Pēc piesardzības principa tiek pieņemts, ka ceļa izdevumu kompensācija būs nepieciešama no Rīgas tālāk esošajām pilsētām.</t>
  </si>
  <si>
    <t>Pakalpojumam izvēlēta viesnīca ar zemāko cenu, t.i. Monika Centrum Hotel ar cenu 72 euro par nakti. Tiek plānots, ka mācības tiek organizētas nedēļu, pasniedzējiem paliekot uz vietas 6 naktis. Viesnīcas izdevumi vienam speciālistam ir 432 euro (72 euro x 6 naktis). Viesnīcas izdevumi diviem speciālistiem ir 864 euro (432 euro x 2 speciālisti).</t>
  </si>
  <si>
    <t>Izpētē iekļauti visi operatori, kuri piedāvā tiešos reisus no Helsinkiem uz Rīgu un atpakaļ (šie reisi ir lētāki). Tā kā lidojumu cenas ik dienu mainās un savlaicīgu lidojumu rezervēšana ir lētāka, tad pakalpojumam izvēlēta vidējā aritmētiskā cena. Vienam profesionālim lidojuma cena ir 133.25 euro (533 euro / 4 pakalpojuma sniedzējiem). Uz apmācībām ieradīsies divi speciālisti, līdz ar to lidojuma cena būs 266.50 euro. Papildus speciālistiem vajadzēs nokļūt no lidostas līdz viesnīcai Rīgas centrā netālu LAA telpām, kur tiks organizētas apmācības. Taksometra pakalpojuma sniedzēju speciālists izvēlēsies uz vietas. Pakalpojuma izmaksas aprēķinam izmantots SIA “TaxiRiga” (ir izsniegta licence darba Rīgas lidostā) tarifs. Brauciena maksa no lidostas līdz viesnīcai 6.38 euro (2.13 nolīgšana, 2 RIX caurlaide, 15 minūtes x 0.15 euro par minūti jeb 2.25 euro). Abu speciālistu ceļa izdevumi vienā ierašanās reizē veido 279.26 eur un tas ietver 266.5 euro divu speciālistu lidojumu izmaksas + taksometra pakalpojumi no/uz lidzostu 6.38 euro x 2 = 12.76 euro)</t>
  </si>
  <si>
    <t>Izlietotais finansējums</t>
  </si>
  <si>
    <t>Viena grupu nodarbība</t>
  </si>
  <si>
    <t>Atbalsta grupu vadītāju apmācību nodrošināšana</t>
  </si>
  <si>
    <t>Viens apmācību dalībnieks</t>
  </si>
  <si>
    <t>Vienas vienības izmaksas/cena</t>
  </si>
  <si>
    <t>PR pakalpojuma nodrošināšana</t>
  </si>
  <si>
    <t>Izmaksas vienai grupu nodarbībai -
 1) viens pieskatītājs x 2 h x 6.47 euro = 12.94 euro 
2) 12.94 euro x  16 nodarbības = 207.04 euro</t>
  </si>
  <si>
    <t>Vispārīgā atbalsta grupa - 
1) vienas  grupu nodarbības izmaksas - 3 stundas x 16 euro x 2 telpas = 96 euro; 
2) 96 euro x 24 nodarbības = 2304 euro.
 Radošās darbnīcas - 
1) vienas grupu nodarbības izmaksas - 6 stundas x 32 euro = 192 euro; 
2) 192 euro x 40 nodarbības = 7680 euro</t>
  </si>
  <si>
    <t>Izmaksas vienai grupu nodarbībai - 
1) viens pieskatītājs x 2 h x 6.47 euro = 12.94 euro x 4 pieskatītāji = 51.76 euro;
 2) 51.76 euro x 30 nodarbības = 1552.8 euro</t>
  </si>
  <si>
    <t>Izmaksas vienai grupu nodarbībai - 
1) viens pieskatītājs x 2 h x 6.47 euro = 12.94 euro x 2 pieskatītāji = 25.88 euro 
2) 25.88 euro x  12 nodarbības = 310.56 euro</t>
  </si>
  <si>
    <t>Izmaksas vienai grupu nodarbībai - 
1) viens pieskatītājs x 5 h x 6.47 euro = 32.35 euro  
2) 32.35 euro x 64 nodarbības = 2070 euro</t>
  </si>
  <si>
    <t>Izmaksas vienai supervīzijas grupas nodarbībai - 
1) 6 grupas supervīzijas mēnesī x 8 mēneši = 48 grupas supervīzijas x 160 euro = 7680 euro 
2) individuālās supervīzijas 1800 euro = 20 atbalsta grupu vadītāji x 2 individuālās supervīzijas x 45 euro vienas supervīzijas cena 
3) kopējās supervīziju izmaksas uz vienu grupu nodarbību = 9480 euro kopējās supervīziju izmaksas (7680+1800 euro) /88 grupu nodarbības = 107.73 euro. Pārbaude: 107.73 x 88 = 9480.24. Starpība noapaļojot 0.24.</t>
  </si>
  <si>
    <t xml:space="preserve">Tiek pieņemts, ka, lai nodrošinātu kafijas pauzi, uz vienu grupas dalībnieku vienā grupas nodarbībā tiks izlietoti 3 euro. Izmaksu aprēķins:
 1) vispārīgās atbalsta grupas vienā nodarbībā piedalās 20 dalībnieki  - 20 dalībnieki x 3 euro = 60 euro/vienai grupai. 
2)  specializētās atbalsta grupas vienā nodarbībā piedalās 8 dalībnieki - 8 dalībnieki x 3 euro = 24 euro/vienai grupai.  
3) radošās darbnīcas vienā nodarbībā piedalās 16 dalībnieki - 16 dalībnieki x 3 euro = 48 euro. </t>
  </si>
  <si>
    <t>Kopā 12 mēnešo plānots novadīt 191 nodarbības attālināti. Aplikācijas mēneša maksa ir 15.80 euro. Aprēķins - 
1) 15.80 euro/mēn. X 12 mēneši = 189.60 euro; 
2) 189.60 euro / 191 nodarbības = 0.99 euro/nodarbība. 
Pārbaude -0.99 euro x 191 nodarbības = 189.09 euro. Noapaļošanas starpība 0.51.</t>
  </si>
  <si>
    <t xml:space="preserve">Kopā 12 mēnešo plānots novadīt 255 nodarbības. Aprēķins - 
1) 50 euro/mēn. X 12 mēneši = 600 euro; 
2) 600 euro / 255 nodarbības = 2.35 euro/nodarbība. 
Pārbaude - 2.35 euro x 255 nodarbības = 599.25 euro. Noapaļošanas starpība 0.75. </t>
  </si>
  <si>
    <r>
      <t>Klātienē</t>
    </r>
    <r>
      <rPr>
        <u val="single"/>
        <sz val="12"/>
        <rFont val="Times New Roman"/>
        <family val="1"/>
      </rPr>
      <t xml:space="preserve"> Rīgā </t>
    </r>
    <r>
      <rPr>
        <sz val="12"/>
        <rFont val="Times New Roman"/>
        <family val="1"/>
      </rPr>
      <t>notiks 58 grupu nodarbības  - 
1) 6 vispārīgās un 28 specializētās grupu nodarbības (3 stundas = 2 stundas ilgs grupu nodarbība + 1 stunda telpu sagatavošana pirms un pēc nodarbības); 
2) 24 radošo darbnīcu nodarbības (6 stundas = 5 stundas ilgs nodarbība un 1 stunda telpu sagatošana pirms un pēc nodarbības); 
3) 34 nodarbības x 3 stundas = 102 stundas un 24 nodarbības x 6 stundas = 144 stundas; 
4) kopā 246 stundas nodarbībām, vidēji mēnesī 246 h/12 mēneši = 20.5 h/mēnesī. Ja pieņem, ka telpu izmaksas dala uz darba stundām - 168h (vidēji mēnesī), tad  telpas tiks izmantotas vidēji mēnesī  12.2% (20.5 h x100/168 h= 12.2 %)  no visa darba laika; 5) 12.2% no 1280.66 euro  = 156.24 euro /mēnesī (1280.66 euro x 12.2/100).</t>
    </r>
  </si>
  <si>
    <t>LAA juridiskās adreses telpas ir 176 m2 lielas un  īri mēnesī  iznaksā 1280.66 euro. Tiek pieņemts, ka telpas izmēģinājumprojekta vajadzībām un Autisma biedrības vajadzībām tiks izmantotas puse uz pusi, tādējādi sedzot pusi no īres maksas -1280.66euro/2 = 640.33 euro, ko veido 
1) telpu īre vispārīgo atbalsta un radošo darbnīcu grupu nodarbībām 156.24 euro; 
2) PR pakalpojuma ieviešanas nodrošināšanai 484.09 euro.</t>
  </si>
  <si>
    <t xml:space="preserve">
Aprēķins - 
1) 250 lapas x 12 euro/lapa = 3000 euro 
2) 250 lapas x 22.99 euro/lapa = 5747.50 euro 
3)3000 euro + 5747.50 euro = 8747.50 euro; 
4) 8747.50 euro/ 6 mēnešiem = 1457.92 euro mēnesī.</t>
  </si>
  <si>
    <t xml:space="preserve">Veicot tirgus izpēti skatīti četri pakalpojumu sniedzēji (mācību centrs "Atbalsts", valodueksperts.lv, SIA LK Tulkojumi, tulkojuma birojs "Polyglot") un noskaidrots vidējais izcenojums. Detalizētu vidējās cenas aprēķinu skatīt 8.5. pielikumā. Tiek pieņemts, ka: 
1) angļu valodas lapas tulkojuma izcenojums ir 12 euro/ lapa; 
2) somu valodas lapas tulkojuma izcenojums ir 22.99 euro/lapa. </t>
  </si>
  <si>
    <t>Izmaksās plānota viena banera pastāvīga izvietošana ar vidējo dienas maksu 15 euro dienā ar pieņēmumu, ka projekta laikā tie būs dažādu tematiku baneri ik mēnesi.</t>
  </si>
  <si>
    <t>1) Kopējie somu speciālistu ceļa izdevumi ir 1117.04 euro (279,26 euro x 4 apmācību grupas). Ceļa izdevumi etver divu speciālistu lidojuma izdevumus un taksometra pakalpojumus no lidostas uz viesnīcu un atpakaļ. Tirgus izpētes rezultāti un ceļa izdevumu aprēkins 15.8. pielikumā. 
2) Somu speciālista ceļa izdevumi uz vienu apmācāmo līdzinieku ir 55.85 euro.</t>
  </si>
  <si>
    <t>Uzturēšanās izdevumi iekļauj divu speciālistu palikšanu viesnīcā uz laiku, kamēr tiek organizētas apmācības. 
1) Uz vienu apmācāmo grupu divu somu speciālistu uzturēšanās izdevumi ir 864 euro. Tirgus izpētes rezultāti un uzturēšanas izdevumu aprēķins 8.8. pielikumā.  
2) Kopējie somu speciālistu uzturēšanās izdevumi ir 3456 euro (864 euro par vienu apmācāmo grupu x 4 apmācāmās grupas). 
3) Somu speciālistu uzturēšanās izdevumi uz vienu apmācāmo līdzinieku ir 172.80 euro (3456 euro dalīts ar 20 apmācāmiem līdziniekiem).</t>
  </si>
  <si>
    <t>Tiek pieņemts, ka, lai nodrošinātu kafijas pauzi, uz vienu grupas dalībnieku vienā grupas nodarbībā tiks izlietoti 3 euro. Viena apmācību grupas nodarbība ilgst 4 stundas, līdz ar to tajā tiek plānotas 2 kafijas pauzes. Kopā apmācāmi 20 līdzinieki un katram no tiem būs jāpiedalās 5 nodarbībās. 
1) Kopējās kafijas pauzes izmaksas ir 600 euro (20 apmācāmie līdzinieki x 5 nodarbības x 3 euro x 2 kafijas pauzes katrā nodarbībā). 
2) Uz vienu apmācāmo grupu kafijas pauzes izmaksas ir 150 euro (600 euro dalīts ar 4 apmācību grupām). 
3) Uz vienu apmācāmo līdzinieku kafijas pauzes izmaksas ir 30 (5 nodarbības x 2 kafijas pauzes x 3 euro).</t>
  </si>
  <si>
    <t>Telpu īres ilgums vienai nodarbībai ir 8 stundas (3 stundas sagatavošanās, kafijas pauzes un pusdienas pārtraukumu + apmācību laiku 5 stundas). 
1) telpu īres ilgums vienai apmācību grupai jeb 5 nodarbībām ir 40 stundas. 
2) Ja pieņem, ka telpu izmaksas dala uz darba stundām - 168h (vidēji mēnesī), tad vienas stundas noma būs 7,63 eur (1280.66 euro īre mēnesē/ 168 darba stundām mēnesī). 
3) Kopējās telpu īres izmaksas vienai apmācību grupai būs 305,2 euro (40 stundas x 7.63 eur/h īres maksa). (Pārbaudei: telpu īres noslodze apmācībām mēnesī 23.81% (40 stundas x 100/168 stundas) un uz mācībām attiecināmā mēneša īres maksa ir 304,92 eur (23.81% x 1280.66 euro). Noapaļošanas starpība 0.28). 
4) telpu īres maksa uz vienu dalībnieku būs 15.26 (305,2 euro / 20 apmācāmie).</t>
  </si>
  <si>
    <t xml:space="preserve">LAA juridiskās adreses telpas ir 176 m2 lielas un  īri mēnesī  iznaksā 1280.66 euro. Tiek pieņemts, ka telpas izmēģinājumprojekta vajadzībām un Autisma biedrības vajadzībām tiks izmantotas puse uz pusi, tādējādi sedzot pusi no īres maksas -1280.66euro/2 = 640.33 euro, ko veido:
 1) telpu īre vispārīgo atbalsta un radošo darbnīcu grupu nodarbībām 185.7 euro; 
2) PR pakalpojuma ieviešanas nodrošināšanai 454.63 euro. 
Papildus tam LAA telpas tiks izmantotas atbalsta grupu vadītāju - līdzinieku apmācībai. </t>
  </si>
  <si>
    <t>1) Tulka izmaksas uz vienu apmācāmo līdzinieku ir 96 euro (1920 euro kopējie tulkošanas pakalpojumi / 20 dalībnieki). 
2) Kopējie tulkošanas pakalpojumi ir 1920 eur (80 stundas x tulkotāja atlīdzība 24 euro/ stundā). 
3) Līdznieku apmācības ilgst 80 sundas (5 nodarbības x 4 stundas x 4 apmācību grupas = 80 stundas). Stundas likme lekcijas tulkošanai ir 24 euro.  
Izvēlētais pakalpojuma sniedzējs ir mācību centrs ATBALSTS, ar kuru LAA ir izveidojusies laba sadarbība (tulkam ir pieredze līdzīga satura pasākumos un pakalpojuma sniedzējs pārzin AST jomas specifiku).</t>
  </si>
  <si>
    <t>Telpu īres ilgums vienai nodarbībai ir 3 stundas (1 stundas sagatavošanās, kafijas pauzes + apmācību laiku 2 stundas). 
1) telpu īres ilgums vienai apmācību grupai jeb 4 nodarbībām ir 12 stundas. 
2) Ja pieņem, ka telpu izmaksas dala uz darba stundām - 168h (vidēji mēnesī), tad vienas stundas noma būs 7,63 eur (1280.66 euro īre mēnesē/ 168 darba stundām mēnesī). 
3) Kopējās telpu īres izmaksas vienai apmācību grupai būs 91.56 euro (12 stundas x 7.63 eur/h īres maksa). (Pārbaudei: telpu īres noslodze apmācībām mēnesī 7.14% (12 stundas x 100/168 stundas) un uz mācībām attiecināmā mēneša īres maksa ir 91.44 eur (7.14% x 1280.66 euro). Noapaļošanas starpība 0.12). 
4) telpu īres maksa uz vienu dalībnieku būs 7.043 (91.56 euro / 13 apmācāmie).</t>
  </si>
  <si>
    <t xml:space="preserve">LAA juridiskās adreses telpas ir 176 m2 lielas un  īri mēnesī  iznaksā 1280.66 euro. Tiek pieņemts, ka telpas izmēģinājumprojekta vajadzībām un Autisma biedrības vajadzībām tiks izmantotas puse uz pusi, tādējādi sedzot pusi no īres maksas -1280.66euro/2 = 640.33 euro, ko veido 
1) telpu īre vispārīgo atbalsta un radošo darbnīcu grupu nodarbībām 185.7 euro; 
2) PR pakalpojuma ieviešanas nodrošināšanai 454.63 euro. 
Papildus tam LAA telpas tiks izmantotas atbalsta grupu vadītāju - pieredzes ekspertu apmācībai. </t>
  </si>
  <si>
    <t>* Telpu īre klātienes nodarbībām sadalās nodarbībās, kas notiks Rīgā, un nodarbībām ārpus Rīgas. Lai aprēķinātu vienas nodarbības izmaksu, piemērota vidējā izmaksa, tepu īres izmaksu uz vienu nodarbību proporcionāli sadalot starp Rīga un ārpus Rīgas nodarbībām.  
Aprēķins vispārīgām atbalsta grupām: 
1) no 30 klātienes nodarbībām, 6 nodarbības ir Rīgā, t.i. 20% (6/30x100) un 24 nodarbības ir ārpus Rīgas, t.i. 80% (24/30x100). 
2) 32.33 euro x 20% = 6.47 euro 3) 96 x 80% =76.8 euro. Kopā vidējā izmaksa uz vienu klātienes nodarbību ir 83.27 euro = 6.47+ 76.8 euro. 
Pārbaude: 
1) 6 nodarbības x 32.33 euro + 24 nodarbības x 96 euro =2497.98 euro 
2) 2497.98 euro / 30 nodarbības = 83,27 euro.
 Aprēķins radošajām darbnīcām: 
1) no 64 klātienes nodarbībām, 24 nodarbības ir Rīgā, t.i. 37.5% (24/64x100) un 40 nodarbības ir ārpus Rīgas, t.i. 62.5% (40/64x100). 
2) 32.33 euro x 37.5% = 12.46 euro 3)192 euro x 62.5% = 120 euro. Kopējā vidējā izmaksa uz vienu klātienes nodarbību ir 132.92 euro. 
Pārbaude: 
1) 24 nodarbības x 32.33 euro + 40 nodarbības x 192 euro = 8455.92 euro 
2) 8455.92 euro / 64 nodarbības = 132,12. Noapaļošanas starpība 0.34.</t>
  </si>
  <si>
    <t>** Transporta izmaksas un ceļa izdevumi atbalsta grupu vadītājiem tiek segti tikai nodarbībām ārpus Rīgas. Lai aprēķinātu vienas nodarbības izmaksu, izmaksa piemērota proporcionāli.
Aprēķins vispārīgām atbalsta grupām: 
1) no 30 klātienes nodarbībām, 6 nodarbības ir Rīgā, t.i. 20% (6/30x100) un 24 nodarbības ir ārpus Rīgas, t.i. 80% (24/30x100) 
2) 186.08 euro transporta izmaksas x 80% = 148.86 euro 
3) 43.46 euro ceļa izdevumi x 0.8 = 34.77 euro 
Pārbaude: 
1)186.08 euro x 24 nodarbības + 43.46 euro  x 24 nodarbības = 5508.96 euro /30 nodarbības =183.63 euro un  2) 148.86 euro +34.77 euro = 183.63 euro
 Aprēķins radošajām darbnīcām: 
1) no 64 klātienes nodarbībām, 24 nodarbības ir Rīgā, t.i. 37.5% (24/64x100) un 40 nodarbības ir ārpus Rīgas, t.i. 62.5% (40/64x100). 
2)186.08 euro transporta izmaksas x 37.5% = 69.78 euro 
3) 43.46 euro ceļa izdevumi x 62.5% = 27.16 euro.</t>
  </si>
  <si>
    <t>10802.88 euro / 12 mēneši = 1800.48 euro mēnesī</t>
  </si>
  <si>
    <t>Pieredzes ekspertu apmācības ietver 3 nodarbības, katra no tām ilgst 2 stundas. 
1) Vienas nodarbības cena ir 363 euro (300 euro atlīdzība + 63 euro PVN).  Apmācībām izvēlētais pakalpojuma sniedzējs ir "Runas Rāmis",  ar kuru LAA ir izveidojusies laba sadarbība citos pasākumos. Pasniedzēja būs sertificēts supervizors ar maģistra grādu vadības psiholoģijā. Ņemot vērā, ka apmācāmie eksperti būs pieaugušie ar AST, kvalifikācija psiholoģijas jomā bija viens no noteicošajiem faktoriem pakalpojuma sniedzēja izvēlē. 
2) Vienas apmācāmās grupas pieredzes ekspertu vietējā speciālista izmaksas ir 1452 euro (363 euro x 4 nodarbības). 
3) Kopējās apmācāmās grupas pieredzes ekspertu vietējā speciālista izmaksas ir 4356 euro (1452 euro x 3 apmācāmās grupas). 
4) Vietējā speciālista izmaksas uz vienu apmācāmo pieredzes ekspertu ir 335.08 euro (4356 euro dalīts ar 13 apmācāmajiem pieredzes ekspertiem).</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</si>
</sst>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Jā&quot;;&quot;Jā&quot;;&quot;Nē&quot;"/>
    <numFmt numFmtId="179" formatCode="&quot;Patiess&quot;;&quot;Patiess&quot;;&quot;Aplams&quot;"/>
    <numFmt numFmtId="180" formatCode="&quot;Ieslēgts&quot;;&quot;Ieslēgts&quot;;&quot;Izslēgts&quot;"/>
    <numFmt numFmtId="181" formatCode="[$€-2]\ #\ ##,000_);[Red]\([$€-2]\ #\ ##,000\)"/>
    <numFmt numFmtId="182" formatCode="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00"/>
    <numFmt numFmtId="193" formatCode="#\ ##0.00"/>
    <numFmt numFmtId="194" formatCode="&quot;Yes&quot;;&quot;Yes&quot;;&quot;No&quot;"/>
    <numFmt numFmtId="195" formatCode="&quot;True&quot;;&quot;True&quot;;&quot;False&quot;"/>
    <numFmt numFmtId="196" formatCode="&quot;On&quot;;&quot;On&quot;;&quot;Off&quot;"/>
    <numFmt numFmtId="197" formatCode="[$€-2]\ #,##0.00_);[Red]\([$€-2]\ #,##0.00\)"/>
  </numFmts>
  <fonts count="70">
    <font>
      <sz val="11"/>
      <color theme="1"/>
      <name val="Calibri"/>
      <family val="2"/>
    </font>
    <font>
      <sz val="11"/>
      <color indexed="8"/>
      <name val="Calibri"/>
      <family val="2"/>
    </font>
    <font>
      <i/>
      <sz val="12"/>
      <name val="Times New Roman"/>
      <family val="1"/>
    </font>
    <font>
      <sz val="12"/>
      <name val="Times New Roman"/>
      <family val="1"/>
    </font>
    <font>
      <b/>
      <sz val="14"/>
      <name val="Times New Roman"/>
      <family val="1"/>
    </font>
    <font>
      <sz val="14"/>
      <name val="Times New Roman"/>
      <family val="1"/>
    </font>
    <font>
      <sz val="10"/>
      <name val="Arial"/>
      <family val="2"/>
    </font>
    <font>
      <b/>
      <sz val="12"/>
      <name val="Times New Roman"/>
      <family val="1"/>
    </font>
    <font>
      <sz val="8"/>
      <name val="Calibri"/>
      <family val="2"/>
    </font>
    <font>
      <b/>
      <sz val="12"/>
      <color indexed="8"/>
      <name val="Times New Roman"/>
      <family val="1"/>
    </font>
    <font>
      <u val="single"/>
      <sz val="12"/>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1"/>
      <name val="Calibri"/>
      <family val="2"/>
    </font>
    <font>
      <b/>
      <sz val="11"/>
      <color indexed="8"/>
      <name val="Times New Roman"/>
      <family val="1"/>
    </font>
    <font>
      <i/>
      <sz val="12"/>
      <color indexed="8"/>
      <name val="Times New Roman"/>
      <family val="1"/>
    </font>
    <font>
      <b/>
      <sz val="12"/>
      <color indexed="10"/>
      <name val="Times New Roman"/>
      <family val="1"/>
    </font>
    <font>
      <sz val="12"/>
      <color indexed="10"/>
      <name val="Times New Roman"/>
      <family val="1"/>
    </font>
    <font>
      <b/>
      <sz val="11"/>
      <color indexed="10"/>
      <name val="Calibri"/>
      <family val="2"/>
    </font>
    <font>
      <sz val="11"/>
      <color indexed="8"/>
      <name val="Times New Roman"/>
      <family val="1"/>
    </font>
    <font>
      <b/>
      <sz val="14"/>
      <color indexed="8"/>
      <name val="Times New Roman"/>
      <family val="1"/>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sz val="11"/>
      <color theme="0"/>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1"/>
      <color rgb="FF0000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Calibri"/>
      <family val="2"/>
    </font>
    <font>
      <sz val="12"/>
      <color theme="1"/>
      <name val="Times New Roman"/>
      <family val="1"/>
    </font>
    <font>
      <b/>
      <sz val="12"/>
      <color theme="1"/>
      <name val="Times New Roman"/>
      <family val="1"/>
    </font>
    <font>
      <b/>
      <sz val="11"/>
      <color theme="1"/>
      <name val="Times New Roman"/>
      <family val="1"/>
    </font>
    <font>
      <i/>
      <sz val="12"/>
      <color theme="1"/>
      <name val="Times New Roman"/>
      <family val="1"/>
    </font>
    <font>
      <b/>
      <sz val="12"/>
      <color rgb="FFFF0000"/>
      <name val="Times New Roman"/>
      <family val="1"/>
    </font>
    <font>
      <sz val="12"/>
      <color rgb="FFFF0000"/>
      <name val="Times New Roman"/>
      <family val="1"/>
    </font>
    <font>
      <b/>
      <sz val="11"/>
      <color rgb="FFFF0000"/>
      <name val="Calibri"/>
      <family val="2"/>
    </font>
    <font>
      <sz val="12"/>
      <color rgb="FF000000"/>
      <name val="Times New Roman"/>
      <family val="1"/>
    </font>
    <font>
      <sz val="11"/>
      <color theme="1"/>
      <name val="Times New Roman"/>
      <family val="1"/>
    </font>
    <font>
      <b/>
      <sz val="12"/>
      <color rgb="FF000000"/>
      <name val="Times New Roman"/>
      <family val="1"/>
    </font>
    <font>
      <b/>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
      <patternFill patternType="lightDown"/>
    </fill>
    <fill>
      <patternFill patternType="lightDown">
        <bgColor theme="5" tint="0.7999799847602844"/>
      </patternFill>
    </fill>
    <fill>
      <patternFill patternType="lightUp"/>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1"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0" borderId="0" applyNumberFormat="0" applyFill="0" applyBorder="0" applyAlignment="0" applyProtection="0"/>
    <xf numFmtId="0" fontId="45"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0" applyNumberFormat="0" applyBorder="0" applyAlignment="0" applyProtection="0"/>
    <xf numFmtId="0" fontId="6" fillId="0" borderId="0">
      <alignment/>
      <protection/>
    </xf>
    <xf numFmtId="0" fontId="49"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cellStyleXfs>
  <cellXfs count="310">
    <xf numFmtId="0" fontId="0" fillId="0" borderId="0" xfId="0" applyFont="1" applyAlignment="1">
      <alignment/>
    </xf>
    <xf numFmtId="0" fontId="58" fillId="0" borderId="0" xfId="0" applyFont="1" applyAlignment="1">
      <alignment horizontal="left" vertical="center" indent="5"/>
    </xf>
    <xf numFmtId="0" fontId="59" fillId="0" borderId="10" xfId="0" applyFont="1" applyBorder="1" applyAlignment="1">
      <alignment horizontal="center" vertical="center"/>
    </xf>
    <xf numFmtId="0" fontId="3" fillId="0" borderId="10" xfId="0" applyFont="1" applyBorder="1" applyAlignment="1">
      <alignment horizontal="left" vertical="center" wrapText="1"/>
    </xf>
    <xf numFmtId="0" fontId="59" fillId="0" borderId="10" xfId="0" applyFont="1" applyBorder="1" applyAlignment="1">
      <alignment horizontal="left" vertical="center" wrapText="1"/>
    </xf>
    <xf numFmtId="0" fontId="0" fillId="0" borderId="0" xfId="0" applyAlignment="1">
      <alignment/>
    </xf>
    <xf numFmtId="0" fontId="3" fillId="33" borderId="0" xfId="35" applyFont="1" applyFill="1" applyAlignment="1">
      <alignment/>
    </xf>
    <xf numFmtId="0" fontId="31" fillId="0" borderId="0" xfId="0" applyFont="1" applyAlignment="1">
      <alignment/>
    </xf>
    <xf numFmtId="0" fontId="0" fillId="0" borderId="11" xfId="0" applyBorder="1" applyAlignment="1">
      <alignment/>
    </xf>
    <xf numFmtId="0" fontId="0" fillId="0" borderId="0" xfId="0" applyAlignment="1">
      <alignment/>
    </xf>
    <xf numFmtId="0" fontId="7" fillId="0" borderId="0" xfId="0" applyFont="1" applyAlignment="1">
      <alignment wrapText="1"/>
    </xf>
    <xf numFmtId="0" fontId="60" fillId="14" borderId="10" xfId="0" applyFont="1" applyFill="1" applyBorder="1" applyAlignment="1">
      <alignment horizontal="center"/>
    </xf>
    <xf numFmtId="0" fontId="59" fillId="0" borderId="10" xfId="0" applyFont="1" applyBorder="1" applyAlignment="1">
      <alignment/>
    </xf>
    <xf numFmtId="0" fontId="59" fillId="0" borderId="10" xfId="0" applyFont="1" applyBorder="1" applyAlignment="1">
      <alignment wrapText="1"/>
    </xf>
    <xf numFmtId="0" fontId="59" fillId="0" borderId="0" xfId="0" applyFont="1" applyAlignment="1">
      <alignment/>
    </xf>
    <xf numFmtId="4" fontId="3" fillId="0" borderId="10" xfId="0" applyNumberFormat="1" applyFont="1" applyBorder="1" applyAlignment="1">
      <alignment horizontal="left" vertical="center"/>
    </xf>
    <xf numFmtId="4" fontId="59" fillId="0" borderId="10" xfId="0" applyNumberFormat="1" applyFont="1" applyBorder="1" applyAlignment="1">
      <alignment horizontal="left" vertical="center"/>
    </xf>
    <xf numFmtId="0" fontId="59" fillId="0" borderId="0" xfId="0" applyFont="1" applyAlignment="1">
      <alignment horizontal="right"/>
    </xf>
    <xf numFmtId="0" fontId="60" fillId="0" borderId="10" xfId="0" applyFont="1" applyBorder="1" applyAlignment="1">
      <alignment horizontal="center"/>
    </xf>
    <xf numFmtId="4" fontId="60" fillId="0" borderId="10" xfId="0" applyNumberFormat="1" applyFont="1" applyBorder="1" applyAlignment="1">
      <alignment horizontal="left" vertical="center"/>
    </xf>
    <xf numFmtId="0" fontId="60" fillId="0" borderId="10" xfId="0" applyFont="1" applyBorder="1" applyAlignment="1">
      <alignment horizontal="left" vertical="center"/>
    </xf>
    <xf numFmtId="0" fontId="59" fillId="0" borderId="10" xfId="0" applyFont="1" applyBorder="1" applyAlignment="1">
      <alignment horizontal="left" vertical="center" wrapText="1"/>
    </xf>
    <xf numFmtId="0" fontId="59" fillId="0" borderId="10" xfId="0" applyFont="1" applyBorder="1" applyAlignment="1">
      <alignment horizontal="center"/>
    </xf>
    <xf numFmtId="2" fontId="59" fillId="0" borderId="10" xfId="0" applyNumberFormat="1" applyFont="1" applyBorder="1" applyAlignment="1">
      <alignment horizontal="center"/>
    </xf>
    <xf numFmtId="0" fontId="59" fillId="0" borderId="10" xfId="0" applyFont="1" applyBorder="1" applyAlignment="1">
      <alignment horizontal="center"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wrapText="1"/>
    </xf>
    <xf numFmtId="4" fontId="60" fillId="0" borderId="10" xfId="0" applyNumberFormat="1" applyFont="1" applyBorder="1" applyAlignment="1">
      <alignment horizontal="center"/>
    </xf>
    <xf numFmtId="2" fontId="0" fillId="0" borderId="0" xfId="0" applyNumberFormat="1" applyAlignment="1">
      <alignment/>
    </xf>
    <xf numFmtId="0" fontId="0" fillId="0" borderId="10" xfId="0" applyBorder="1" applyAlignment="1">
      <alignment/>
    </xf>
    <xf numFmtId="0" fontId="0" fillId="0" borderId="10" xfId="0" applyBorder="1" applyAlignment="1">
      <alignment horizontal="center"/>
    </xf>
    <xf numFmtId="0" fontId="59" fillId="0" borderId="10" xfId="0" applyFont="1" applyBorder="1" applyAlignment="1">
      <alignment horizontal="left"/>
    </xf>
    <xf numFmtId="0" fontId="59" fillId="0" borderId="0" xfId="0" applyFont="1" applyAlignment="1">
      <alignment horizontal="right"/>
    </xf>
    <xf numFmtId="0" fontId="60" fillId="0" borderId="10" xfId="0" applyFont="1" applyBorder="1" applyAlignment="1">
      <alignment horizontal="right"/>
    </xf>
    <xf numFmtId="2" fontId="60" fillId="0" borderId="10" xfId="0" applyNumberFormat="1" applyFont="1" applyBorder="1" applyAlignment="1">
      <alignment horizontal="center"/>
    </xf>
    <xf numFmtId="0" fontId="0" fillId="0" borderId="0" xfId="0" applyAlignment="1">
      <alignment horizontal="center" vertical="center"/>
    </xf>
    <xf numFmtId="0" fontId="60" fillId="0" borderId="0" xfId="0" applyFont="1" applyFill="1" applyBorder="1" applyAlignment="1">
      <alignment horizontal="left" vertical="center"/>
    </xf>
    <xf numFmtId="0" fontId="59" fillId="0" borderId="0" xfId="0" applyFont="1" applyFill="1" applyBorder="1" applyAlignment="1">
      <alignment horizontal="left" vertical="center"/>
    </xf>
    <xf numFmtId="0" fontId="0" fillId="0" borderId="0" xfId="0" applyAlignment="1">
      <alignment horizontal="left" vertical="center"/>
    </xf>
    <xf numFmtId="0" fontId="60" fillId="0" borderId="12" xfId="0" applyFont="1" applyBorder="1" applyAlignment="1">
      <alignment horizontal="right" vertical="center" wrapText="1"/>
    </xf>
    <xf numFmtId="0" fontId="59" fillId="0" borderId="10" xfId="0" applyFont="1" applyBorder="1" applyAlignment="1">
      <alignment horizontal="center" vertical="center" wrapText="1"/>
    </xf>
    <xf numFmtId="0" fontId="59" fillId="0" borderId="10" xfId="0" applyFont="1" applyBorder="1" applyAlignment="1">
      <alignment horizontal="left" wrapText="1"/>
    </xf>
    <xf numFmtId="0" fontId="41" fillId="0" borderId="0" xfId="35" applyAlignment="1">
      <alignment/>
    </xf>
    <xf numFmtId="0" fontId="59" fillId="0" borderId="0" xfId="0" applyFont="1" applyAlignment="1">
      <alignment wrapText="1"/>
    </xf>
    <xf numFmtId="0" fontId="3" fillId="0" borderId="10" xfId="0" applyFont="1" applyBorder="1" applyAlignment="1">
      <alignment wrapText="1"/>
    </xf>
    <xf numFmtId="2" fontId="61" fillId="0" borderId="10" xfId="0" applyNumberFormat="1" applyFont="1" applyBorder="1" applyAlignment="1">
      <alignment horizontal="right"/>
    </xf>
    <xf numFmtId="0" fontId="59" fillId="0" borderId="13" xfId="0" applyFont="1" applyBorder="1" applyAlignment="1">
      <alignment horizontal="left" vertical="top" wrapText="1"/>
    </xf>
    <xf numFmtId="0" fontId="59" fillId="0" borderId="10" xfId="0" applyFont="1" applyBorder="1" applyAlignment="1">
      <alignment horizontal="center" vertical="center" wrapText="1"/>
    </xf>
    <xf numFmtId="0" fontId="59" fillId="33" borderId="10" xfId="0" applyFont="1" applyFill="1" applyBorder="1" applyAlignment="1">
      <alignment horizontal="center"/>
    </xf>
    <xf numFmtId="0" fontId="60" fillId="0" borderId="10" xfId="0" applyFont="1" applyBorder="1" applyAlignment="1">
      <alignment/>
    </xf>
    <xf numFmtId="0" fontId="59" fillId="0" borderId="0" xfId="0" applyFont="1" applyAlignment="1">
      <alignment/>
    </xf>
    <xf numFmtId="0" fontId="60" fillId="0" borderId="0" xfId="0" applyFont="1" applyAlignment="1">
      <alignment horizontal="left" vertical="center" wrapText="1"/>
    </xf>
    <xf numFmtId="4" fontId="59" fillId="0" borderId="10" xfId="0" applyNumberFormat="1" applyFont="1" applyBorder="1" applyAlignment="1">
      <alignment horizontal="center"/>
    </xf>
    <xf numFmtId="3" fontId="59" fillId="0" borderId="10" xfId="0" applyNumberFormat="1" applyFont="1" applyBorder="1" applyAlignment="1">
      <alignment horizontal="center"/>
    </xf>
    <xf numFmtId="3" fontId="60" fillId="0" borderId="10" xfId="0" applyNumberFormat="1" applyFont="1" applyBorder="1" applyAlignment="1">
      <alignment horizontal="center"/>
    </xf>
    <xf numFmtId="0" fontId="59" fillId="0" borderId="10" xfId="0" applyFont="1" applyBorder="1" applyAlignment="1">
      <alignment horizontal="center" vertical="center"/>
    </xf>
    <xf numFmtId="4" fontId="60" fillId="0" borderId="0" xfId="0" applyNumberFormat="1" applyFont="1" applyBorder="1" applyAlignment="1">
      <alignment horizontal="center"/>
    </xf>
    <xf numFmtId="0" fontId="59" fillId="0" borderId="0" xfId="0" applyFont="1" applyAlignment="1">
      <alignment horizontal="right"/>
    </xf>
    <xf numFmtId="0" fontId="59" fillId="0" borderId="13" xfId="0" applyFont="1" applyBorder="1" applyAlignment="1">
      <alignment horizontal="center" vertical="center" wrapText="1"/>
    </xf>
    <xf numFmtId="0" fontId="59" fillId="0" borderId="10" xfId="0" applyFont="1" applyBorder="1" applyAlignment="1">
      <alignment horizontal="left" vertical="center"/>
    </xf>
    <xf numFmtId="0" fontId="59" fillId="0" borderId="10" xfId="0" applyFont="1" applyFill="1" applyBorder="1" applyAlignment="1">
      <alignment horizontal="center" vertical="center"/>
    </xf>
    <xf numFmtId="0" fontId="62" fillId="0" borderId="10" xfId="0" applyFont="1" applyBorder="1" applyAlignment="1">
      <alignment horizontal="center" vertical="center" wrapText="1"/>
    </xf>
    <xf numFmtId="2" fontId="59" fillId="0" borderId="10" xfId="0" applyNumberFormat="1" applyFont="1" applyBorder="1" applyAlignment="1">
      <alignment horizontal="center" vertical="center" wrapText="1"/>
    </xf>
    <xf numFmtId="0" fontId="62" fillId="0" borderId="14" xfId="0" applyFont="1" applyBorder="1" applyAlignment="1">
      <alignment horizontal="center" vertical="center" wrapText="1"/>
    </xf>
    <xf numFmtId="2" fontId="62" fillId="0" borderId="10" xfId="0" applyNumberFormat="1" applyFont="1" applyBorder="1" applyAlignment="1">
      <alignment horizontal="center" vertical="center" wrapText="1"/>
    </xf>
    <xf numFmtId="0" fontId="60" fillId="0" borderId="12" xfId="0" applyFont="1" applyBorder="1" applyAlignment="1">
      <alignment vertical="center" wrapText="1"/>
    </xf>
    <xf numFmtId="0" fontId="60" fillId="0" borderId="14" xfId="0" applyFont="1" applyBorder="1" applyAlignment="1">
      <alignment vertical="center" wrapText="1"/>
    </xf>
    <xf numFmtId="0" fontId="59" fillId="0" borderId="10" xfId="0" applyFont="1" applyFill="1" applyBorder="1" applyAlignment="1">
      <alignment/>
    </xf>
    <xf numFmtId="0" fontId="59" fillId="0" borderId="15" xfId="0" applyFont="1" applyBorder="1" applyAlignment="1">
      <alignment/>
    </xf>
    <xf numFmtId="0" fontId="59" fillId="0" borderId="10" xfId="0" applyFont="1" applyBorder="1" applyAlignment="1">
      <alignment vertical="top" wrapText="1"/>
    </xf>
    <xf numFmtId="0" fontId="3" fillId="0" borderId="10" xfId="0" applyFont="1" applyBorder="1" applyAlignment="1">
      <alignment horizontal="left" vertical="top" wrapText="1"/>
    </xf>
    <xf numFmtId="0" fontId="59" fillId="0" borderId="10" xfId="0" applyFont="1" applyBorder="1" applyAlignment="1">
      <alignment vertical="top"/>
    </xf>
    <xf numFmtId="0" fontId="3" fillId="0" borderId="13" xfId="0" applyFont="1" applyBorder="1" applyAlignment="1">
      <alignment vertical="top" wrapText="1"/>
    </xf>
    <xf numFmtId="0" fontId="3" fillId="0" borderId="10" xfId="0" applyFont="1" applyBorder="1" applyAlignment="1">
      <alignment vertical="top" wrapText="1"/>
    </xf>
    <xf numFmtId="4" fontId="60" fillId="0" borderId="10" xfId="0" applyNumberFormat="1" applyFont="1" applyBorder="1" applyAlignment="1">
      <alignment horizontal="right" vertical="center"/>
    </xf>
    <xf numFmtId="0" fontId="60" fillId="0" borderId="10" xfId="0" applyFont="1" applyFill="1" applyBorder="1" applyAlignment="1">
      <alignment wrapText="1"/>
    </xf>
    <xf numFmtId="0" fontId="59" fillId="0" borderId="0" xfId="0" applyFont="1" applyFill="1" applyBorder="1" applyAlignment="1">
      <alignment horizontal="left" vertical="center" wrapText="1"/>
    </xf>
    <xf numFmtId="190" fontId="59" fillId="0" borderId="10" xfId="0" applyNumberFormat="1" applyFont="1" applyBorder="1" applyAlignment="1">
      <alignment horizontal="center"/>
    </xf>
    <xf numFmtId="4" fontId="0" fillId="0" borderId="0" xfId="0" applyNumberFormat="1" applyAlignment="1">
      <alignment/>
    </xf>
    <xf numFmtId="4" fontId="63" fillId="0" borderId="10" xfId="0" applyNumberFormat="1" applyFont="1" applyBorder="1" applyAlignment="1">
      <alignment horizontal="center"/>
    </xf>
    <xf numFmtId="4" fontId="64" fillId="0" borderId="10" xfId="0" applyNumberFormat="1" applyFont="1" applyBorder="1" applyAlignment="1">
      <alignment horizontal="center"/>
    </xf>
    <xf numFmtId="0" fontId="3" fillId="0" borderId="0" xfId="0" applyFont="1" applyAlignment="1">
      <alignment/>
    </xf>
    <xf numFmtId="2" fontId="60" fillId="0" borderId="10" xfId="0" applyNumberFormat="1" applyFont="1" applyFill="1" applyBorder="1" applyAlignment="1">
      <alignment wrapText="1"/>
    </xf>
    <xf numFmtId="0" fontId="59" fillId="0" borderId="10" xfId="0" applyFont="1" applyBorder="1" applyAlignment="1">
      <alignment vertical="center" wrapText="1"/>
    </xf>
    <xf numFmtId="2" fontId="59" fillId="0" borderId="10" xfId="0" applyNumberFormat="1" applyFont="1" applyBorder="1" applyAlignment="1">
      <alignment vertical="center" wrapText="1"/>
    </xf>
    <xf numFmtId="0" fontId="59" fillId="0" borderId="10" xfId="0" applyFont="1" applyBorder="1" applyAlignment="1">
      <alignment vertical="center"/>
    </xf>
    <xf numFmtId="4" fontId="59" fillId="0" borderId="0" xfId="0" applyNumberFormat="1" applyFont="1" applyAlignment="1">
      <alignment/>
    </xf>
    <xf numFmtId="4" fontId="59" fillId="0" borderId="10" xfId="0" applyNumberFormat="1" applyFont="1" applyFill="1" applyBorder="1" applyAlignment="1">
      <alignment horizontal="center"/>
    </xf>
    <xf numFmtId="3" fontId="59" fillId="0" borderId="10" xfId="0" applyNumberFormat="1" applyFont="1" applyFill="1" applyBorder="1" applyAlignment="1">
      <alignment horizontal="center"/>
    </xf>
    <xf numFmtId="4" fontId="60" fillId="0" borderId="10" xfId="0" applyNumberFormat="1" applyFont="1" applyFill="1" applyBorder="1" applyAlignment="1">
      <alignment horizontal="center"/>
    </xf>
    <xf numFmtId="3" fontId="60" fillId="0" borderId="10" xfId="0" applyNumberFormat="1" applyFont="1" applyFill="1" applyBorder="1" applyAlignment="1">
      <alignment horizontal="center"/>
    </xf>
    <xf numFmtId="0" fontId="60" fillId="0" borderId="10" xfId="0" applyFont="1" applyFill="1" applyBorder="1" applyAlignment="1">
      <alignment/>
    </xf>
    <xf numFmtId="0" fontId="60" fillId="0" borderId="10" xfId="0" applyFont="1" applyFill="1" applyBorder="1" applyAlignment="1">
      <alignment horizontal="right" wrapText="1"/>
    </xf>
    <xf numFmtId="0" fontId="59" fillId="0" borderId="10" xfId="0" applyFont="1" applyFill="1" applyBorder="1" applyAlignment="1">
      <alignment horizontal="center" wrapText="1"/>
    </xf>
    <xf numFmtId="4" fontId="31" fillId="0" borderId="0" xfId="0" applyNumberFormat="1" applyFont="1" applyAlignment="1">
      <alignment/>
    </xf>
    <xf numFmtId="4" fontId="40" fillId="0" borderId="0" xfId="0" applyNumberFormat="1" applyFont="1" applyAlignment="1">
      <alignment/>
    </xf>
    <xf numFmtId="4" fontId="65" fillId="0" borderId="0" xfId="0" applyNumberFormat="1" applyFont="1" applyAlignment="1">
      <alignment/>
    </xf>
    <xf numFmtId="2" fontId="3" fillId="0" borderId="10" xfId="0" applyNumberFormat="1" applyFont="1" applyBorder="1" applyAlignment="1">
      <alignment/>
    </xf>
    <xf numFmtId="0" fontId="3" fillId="0" borderId="10" xfId="0" applyFont="1" applyFill="1" applyBorder="1" applyAlignment="1">
      <alignment wrapText="1"/>
    </xf>
    <xf numFmtId="0" fontId="3" fillId="0" borderId="10" xfId="0" applyFont="1" applyFill="1" applyBorder="1" applyAlignment="1">
      <alignment horizontal="center"/>
    </xf>
    <xf numFmtId="9" fontId="0" fillId="0" borderId="0" xfId="56" applyFont="1" applyAlignment="1">
      <alignment/>
    </xf>
    <xf numFmtId="0" fontId="59" fillId="0" borderId="13" xfId="0" applyFont="1" applyBorder="1" applyAlignment="1">
      <alignment vertical="top" wrapText="1"/>
    </xf>
    <xf numFmtId="0" fontId="59" fillId="0" borderId="0" xfId="0" applyFont="1" applyAlignment="1">
      <alignment horizontal="right"/>
    </xf>
    <xf numFmtId="0" fontId="59" fillId="0" borderId="15" xfId="0" applyFont="1" applyBorder="1" applyAlignment="1">
      <alignment vertical="center"/>
    </xf>
    <xf numFmtId="2" fontId="3" fillId="0" borderId="10" xfId="0" applyNumberFormat="1" applyFont="1" applyBorder="1" applyAlignment="1">
      <alignment vertical="center" wrapText="1"/>
    </xf>
    <xf numFmtId="0" fontId="3" fillId="0" borderId="10" xfId="0" applyFont="1" applyBorder="1" applyAlignment="1">
      <alignment vertical="center" wrapText="1"/>
    </xf>
    <xf numFmtId="182" fontId="3" fillId="0" borderId="10" xfId="0" applyNumberFormat="1" applyFont="1" applyBorder="1" applyAlignment="1">
      <alignment vertical="center"/>
    </xf>
    <xf numFmtId="0" fontId="3" fillId="0" borderId="10" xfId="0" applyFont="1" applyBorder="1" applyAlignment="1">
      <alignment vertical="center"/>
    </xf>
    <xf numFmtId="2" fontId="59" fillId="0" borderId="10" xfId="0" applyNumberFormat="1" applyFont="1" applyBorder="1" applyAlignment="1">
      <alignment vertical="center"/>
    </xf>
    <xf numFmtId="1" fontId="59" fillId="0" borderId="10" xfId="0" applyNumberFormat="1" applyFont="1" applyBorder="1" applyAlignment="1">
      <alignment vertical="center"/>
    </xf>
    <xf numFmtId="0" fontId="66"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59" fillId="0" borderId="10" xfId="0" applyFont="1" applyFill="1" applyBorder="1" applyAlignment="1">
      <alignment horizontal="left" wrapText="1"/>
    </xf>
    <xf numFmtId="2" fontId="3" fillId="0" borderId="10" xfId="0" applyNumberFormat="1" applyFont="1" applyBorder="1" applyAlignment="1">
      <alignment horizontal="right" vertical="center" wrapText="1"/>
    </xf>
    <xf numFmtId="0" fontId="3" fillId="0" borderId="10" xfId="0" applyFont="1" applyBorder="1" applyAlignment="1">
      <alignment horizontal="right" vertical="center" wrapText="1"/>
    </xf>
    <xf numFmtId="182" fontId="3" fillId="0" borderId="10" xfId="0" applyNumberFormat="1" applyFont="1" applyBorder="1" applyAlignment="1">
      <alignment horizontal="right" vertical="center"/>
    </xf>
    <xf numFmtId="0" fontId="3" fillId="0" borderId="10" xfId="0" applyFont="1" applyBorder="1" applyAlignment="1">
      <alignment horizontal="right" vertical="center"/>
    </xf>
    <xf numFmtId="3" fontId="66" fillId="0" borderId="10" xfId="0" applyNumberFormat="1" applyFont="1" applyFill="1" applyBorder="1" applyAlignment="1">
      <alignment horizontal="center" vertical="center" wrapText="1"/>
    </xf>
    <xf numFmtId="3" fontId="66" fillId="0" borderId="10" xfId="0" applyNumberFormat="1" applyFont="1" applyFill="1" applyBorder="1" applyAlignment="1">
      <alignment horizontal="center" vertical="center"/>
    </xf>
    <xf numFmtId="4" fontId="63" fillId="0" borderId="0" xfId="0" applyNumberFormat="1" applyFont="1" applyBorder="1" applyAlignment="1">
      <alignment horizontal="center"/>
    </xf>
    <xf numFmtId="3" fontId="0" fillId="0" borderId="0" xfId="0" applyNumberFormat="1" applyAlignment="1">
      <alignment/>
    </xf>
    <xf numFmtId="0" fontId="59" fillId="34" borderId="10" xfId="0" applyFont="1" applyFill="1" applyBorder="1" applyAlignment="1">
      <alignment horizontal="center" vertical="center" wrapText="1"/>
    </xf>
    <xf numFmtId="3" fontId="59" fillId="0" borderId="10" xfId="0" applyNumberFormat="1" applyFont="1" applyFill="1" applyBorder="1" applyAlignment="1">
      <alignment horizontal="center" vertical="center" wrapText="1"/>
    </xf>
    <xf numFmtId="9" fontId="67" fillId="0" borderId="10" xfId="56" applyFont="1" applyBorder="1" applyAlignment="1">
      <alignment horizontal="center"/>
    </xf>
    <xf numFmtId="0" fontId="0" fillId="0" borderId="0" xfId="0" applyFont="1" applyAlignment="1">
      <alignment/>
    </xf>
    <xf numFmtId="0" fontId="60" fillId="34" borderId="10" xfId="0" applyFont="1" applyFill="1" applyBorder="1" applyAlignment="1">
      <alignment horizontal="center" wrapText="1"/>
    </xf>
    <xf numFmtId="0" fontId="60" fillId="34" borderId="10" xfId="0" applyFont="1" applyFill="1" applyBorder="1" applyAlignment="1">
      <alignment horizontal="center"/>
    </xf>
    <xf numFmtId="0" fontId="59" fillId="34" borderId="10" xfId="0" applyFont="1" applyFill="1" applyBorder="1" applyAlignment="1">
      <alignment horizontal="center" vertical="center"/>
    </xf>
    <xf numFmtId="0" fontId="3" fillId="0" borderId="0" xfId="0" applyFont="1" applyAlignment="1">
      <alignment horizontal="right"/>
    </xf>
    <xf numFmtId="0" fontId="7" fillId="34" borderId="10" xfId="0" applyFont="1" applyFill="1" applyBorder="1" applyAlignment="1">
      <alignment horizontal="center" wrapText="1"/>
    </xf>
    <xf numFmtId="0" fontId="3" fillId="0" borderId="10" xfId="0" applyFont="1" applyBorder="1" applyAlignment="1">
      <alignment/>
    </xf>
    <xf numFmtId="0" fontId="3" fillId="33" borderId="10" xfId="0" applyFont="1" applyFill="1" applyBorder="1" applyAlignment="1">
      <alignment horizontal="left" vertical="center" wrapText="1"/>
    </xf>
    <xf numFmtId="0" fontId="3" fillId="0" borderId="10" xfId="0" applyFont="1" applyFill="1" applyBorder="1" applyAlignment="1">
      <alignment/>
    </xf>
    <xf numFmtId="4" fontId="3" fillId="0" borderId="10" xfId="0" applyNumberFormat="1" applyFont="1" applyBorder="1" applyAlignment="1">
      <alignment/>
    </xf>
    <xf numFmtId="0" fontId="3" fillId="0" borderId="15" xfId="0" applyFont="1" applyBorder="1" applyAlignment="1">
      <alignment wrapText="1"/>
    </xf>
    <xf numFmtId="4" fontId="7" fillId="0" borderId="10" xfId="0" applyNumberFormat="1" applyFont="1" applyBorder="1" applyAlignment="1">
      <alignment horizontal="center"/>
    </xf>
    <xf numFmtId="0" fontId="3" fillId="0" borderId="16" xfId="0" applyFont="1" applyBorder="1" applyAlignment="1">
      <alignment/>
    </xf>
    <xf numFmtId="193" fontId="59" fillId="0" borderId="10" xfId="0" applyNumberFormat="1" applyFont="1" applyFill="1" applyBorder="1" applyAlignment="1">
      <alignment horizontal="center" vertical="center"/>
    </xf>
    <xf numFmtId="193" fontId="68" fillId="0" borderId="10" xfId="0" applyNumberFormat="1" applyFont="1" applyFill="1" applyBorder="1" applyAlignment="1">
      <alignment horizontal="center" vertical="center"/>
    </xf>
    <xf numFmtId="193" fontId="66" fillId="0" borderId="10" xfId="0" applyNumberFormat="1" applyFont="1" applyFill="1" applyBorder="1" applyAlignment="1">
      <alignment horizontal="center" vertical="center"/>
    </xf>
    <xf numFmtId="193" fontId="66" fillId="0" borderId="10" xfId="0" applyNumberFormat="1"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0" borderId="0" xfId="0" applyFont="1" applyAlignment="1">
      <alignment horizontal="right"/>
    </xf>
    <xf numFmtId="0" fontId="60" fillId="0" borderId="10" xfId="0" applyFont="1" applyBorder="1" applyAlignment="1">
      <alignment wrapText="1"/>
    </xf>
    <xf numFmtId="4" fontId="59" fillId="35" borderId="10" xfId="0" applyNumberFormat="1" applyFont="1" applyFill="1" applyBorder="1" applyAlignment="1">
      <alignment horizontal="center"/>
    </xf>
    <xf numFmtId="0" fontId="0" fillId="3" borderId="0" xfId="0" applyFill="1" applyAlignment="1">
      <alignment/>
    </xf>
    <xf numFmtId="0" fontId="59" fillId="3" borderId="10" xfId="0" applyFont="1" applyFill="1" applyBorder="1" applyAlignment="1">
      <alignment horizontal="center" vertical="center" wrapText="1"/>
    </xf>
    <xf numFmtId="4" fontId="60" fillId="3" borderId="10" xfId="0" applyNumberFormat="1" applyFont="1" applyFill="1" applyBorder="1" applyAlignment="1">
      <alignment horizontal="center"/>
    </xf>
    <xf numFmtId="4" fontId="59" fillId="3" borderId="10" xfId="0" applyNumberFormat="1" applyFont="1" applyFill="1" applyBorder="1" applyAlignment="1">
      <alignment horizontal="center"/>
    </xf>
    <xf numFmtId="4" fontId="59" fillId="36" borderId="10" xfId="0" applyNumberFormat="1" applyFont="1" applyFill="1" applyBorder="1" applyAlignment="1">
      <alignment horizontal="center"/>
    </xf>
    <xf numFmtId="0" fontId="59" fillId="3" borderId="10" xfId="0" applyFont="1" applyFill="1" applyBorder="1" applyAlignment="1">
      <alignment vertical="center" wrapText="1"/>
    </xf>
    <xf numFmtId="0" fontId="59" fillId="34" borderId="15" xfId="0" applyFont="1" applyFill="1" applyBorder="1" applyAlignment="1">
      <alignment vertical="center" wrapText="1"/>
    </xf>
    <xf numFmtId="0" fontId="59" fillId="34" borderId="13" xfId="0" applyFont="1" applyFill="1" applyBorder="1" applyAlignment="1">
      <alignment vertical="center" wrapText="1"/>
    </xf>
    <xf numFmtId="3" fontId="3" fillId="0" borderId="10" xfId="0" applyNumberFormat="1" applyFont="1" applyFill="1" applyBorder="1" applyAlignment="1">
      <alignment/>
    </xf>
    <xf numFmtId="2" fontId="3" fillId="0" borderId="10" xfId="0" applyNumberFormat="1" applyFont="1" applyFill="1" applyBorder="1" applyAlignment="1">
      <alignment/>
    </xf>
    <xf numFmtId="0" fontId="67" fillId="0" borderId="0" xfId="0" applyFont="1" applyAlignment="1">
      <alignment/>
    </xf>
    <xf numFmtId="0" fontId="60" fillId="37" borderId="10" xfId="0" applyNumberFormat="1" applyFont="1" applyFill="1" applyBorder="1" applyAlignment="1">
      <alignment horizontal="center"/>
    </xf>
    <xf numFmtId="0" fontId="3" fillId="33" borderId="10" xfId="35" applyFont="1" applyFill="1" applyBorder="1" applyAlignment="1">
      <alignment horizontal="right"/>
    </xf>
    <xf numFmtId="0" fontId="60" fillId="0" borderId="0" xfId="0" applyFont="1" applyAlignment="1">
      <alignment horizontal="right" vertical="center" wrapText="1"/>
    </xf>
    <xf numFmtId="0" fontId="66" fillId="33" borderId="10" xfId="0" applyFont="1" applyFill="1" applyBorder="1" applyAlignment="1">
      <alignment horizontal="center" vertical="center"/>
    </xf>
    <xf numFmtId="0" fontId="59"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59" fillId="0" borderId="10" xfId="0" applyFont="1" applyBorder="1" applyAlignment="1">
      <alignment horizontal="left" vertical="top" wrapText="1"/>
    </xf>
    <xf numFmtId="0" fontId="3" fillId="33" borderId="10" xfId="35" applyFont="1" applyFill="1" applyBorder="1" applyAlignment="1">
      <alignment horizontal="left"/>
    </xf>
    <xf numFmtId="0" fontId="3" fillId="33" borderId="12" xfId="35" applyFont="1" applyFill="1" applyBorder="1" applyAlignment="1">
      <alignment horizontal="left" wrapText="1"/>
    </xf>
    <xf numFmtId="0" fontId="3" fillId="33" borderId="14" xfId="35" applyFont="1" applyFill="1" applyBorder="1" applyAlignment="1">
      <alignment horizontal="left" wrapText="1"/>
    </xf>
    <xf numFmtId="0" fontId="3" fillId="33" borderId="17" xfId="35" applyFont="1" applyFill="1" applyBorder="1" applyAlignment="1">
      <alignment horizontal="left" wrapText="1"/>
    </xf>
    <xf numFmtId="0" fontId="5" fillId="0" borderId="18" xfId="0" applyFont="1" applyBorder="1" applyAlignment="1">
      <alignment horizontal="center"/>
    </xf>
    <xf numFmtId="0" fontId="2" fillId="0" borderId="0" xfId="0" applyFont="1" applyAlignment="1">
      <alignment horizontal="right" wrapText="1"/>
    </xf>
    <xf numFmtId="0" fontId="3" fillId="0" borderId="0" xfId="0" applyFont="1" applyAlignment="1">
      <alignment horizontal="right" wrapText="1"/>
    </xf>
    <xf numFmtId="0" fontId="4" fillId="0" borderId="0" xfId="0" applyFont="1" applyAlignment="1">
      <alignment horizontal="center" wrapText="1"/>
    </xf>
    <xf numFmtId="0" fontId="69" fillId="14" borderId="10" xfId="0" applyFont="1" applyFill="1" applyBorder="1" applyAlignment="1">
      <alignment horizontal="center"/>
    </xf>
    <xf numFmtId="0" fontId="3" fillId="0" borderId="12" xfId="35" applyFont="1" applyBorder="1" applyAlignment="1">
      <alignment horizontal="left" wrapText="1"/>
    </xf>
    <xf numFmtId="0" fontId="3" fillId="0" borderId="14" xfId="35" applyFont="1" applyBorder="1" applyAlignment="1">
      <alignment horizontal="left" wrapText="1"/>
    </xf>
    <xf numFmtId="0" fontId="3" fillId="0" borderId="17" xfId="35" applyFont="1" applyBorder="1" applyAlignment="1">
      <alignment horizontal="left" wrapText="1"/>
    </xf>
    <xf numFmtId="0" fontId="3" fillId="33" borderId="12" xfId="35" applyFont="1" applyFill="1" applyBorder="1" applyAlignment="1">
      <alignment horizontal="left"/>
    </xf>
    <xf numFmtId="0" fontId="3" fillId="33" borderId="14" xfId="35" applyFont="1" applyFill="1" applyBorder="1" applyAlignment="1">
      <alignment horizontal="left"/>
    </xf>
    <xf numFmtId="0" fontId="3" fillId="33" borderId="17" xfId="35" applyFont="1" applyFill="1" applyBorder="1" applyAlignment="1">
      <alignment horizontal="left"/>
    </xf>
    <xf numFmtId="0" fontId="3" fillId="0" borderId="10" xfId="35" applyFont="1" applyBorder="1" applyAlignment="1">
      <alignment horizontal="left"/>
    </xf>
    <xf numFmtId="0" fontId="60" fillId="0" borderId="12" xfId="0" applyFont="1" applyFill="1" applyBorder="1" applyAlignment="1">
      <alignment horizontal="left" wrapText="1"/>
    </xf>
    <xf numFmtId="0" fontId="60" fillId="0" borderId="14" xfId="0" applyFont="1" applyFill="1" applyBorder="1" applyAlignment="1">
      <alignment horizontal="left" wrapText="1"/>
    </xf>
    <xf numFmtId="0" fontId="60" fillId="0" borderId="17" xfId="0" applyFont="1" applyFill="1" applyBorder="1" applyAlignment="1">
      <alignment horizontal="left" wrapText="1"/>
    </xf>
    <xf numFmtId="0" fontId="59" fillId="34" borderId="10" xfId="0" applyFont="1" applyFill="1" applyBorder="1" applyAlignment="1">
      <alignment horizontal="center" vertical="center"/>
    </xf>
    <xf numFmtId="0" fontId="59" fillId="34" borderId="10" xfId="0" applyFont="1" applyFill="1" applyBorder="1" applyAlignment="1">
      <alignment horizontal="center" vertical="center" wrapText="1"/>
    </xf>
    <xf numFmtId="0" fontId="59" fillId="0" borderId="0" xfId="0" applyFont="1" applyAlignment="1">
      <alignment horizontal="left" wrapText="1"/>
    </xf>
    <xf numFmtId="0" fontId="64" fillId="0" borderId="15"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13" xfId="0" applyFont="1" applyBorder="1" applyAlignment="1">
      <alignment horizontal="center" vertical="center" wrapText="1"/>
    </xf>
    <xf numFmtId="0" fontId="59" fillId="0" borderId="0" xfId="0" applyFont="1" applyAlignment="1">
      <alignment horizontal="right"/>
    </xf>
    <xf numFmtId="0" fontId="60" fillId="0" borderId="0" xfId="0" applyFont="1" applyAlignment="1">
      <alignment horizontal="center"/>
    </xf>
    <xf numFmtId="0" fontId="3" fillId="0" borderId="0" xfId="0" applyFont="1" applyAlignment="1">
      <alignment horizontal="left" wrapText="1"/>
    </xf>
    <xf numFmtId="0" fontId="59" fillId="0" borderId="0" xfId="0" applyFont="1" applyAlignment="1">
      <alignment horizontal="center" wrapText="1"/>
    </xf>
    <xf numFmtId="0" fontId="59" fillId="34" borderId="15" xfId="0" applyFont="1" applyFill="1" applyBorder="1" applyAlignment="1">
      <alignment horizontal="center" vertical="center" wrapText="1"/>
    </xf>
    <xf numFmtId="0" fontId="59" fillId="34" borderId="19"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59" fillId="34" borderId="21" xfId="0" applyFont="1" applyFill="1" applyBorder="1" applyAlignment="1">
      <alignment horizontal="center" vertical="center" wrapText="1"/>
    </xf>
    <xf numFmtId="0" fontId="59" fillId="34" borderId="11" xfId="0" applyFont="1" applyFill="1" applyBorder="1" applyAlignment="1">
      <alignment horizontal="center" vertical="center" wrapText="1"/>
    </xf>
    <xf numFmtId="0" fontId="59" fillId="34" borderId="22" xfId="0" applyFont="1" applyFill="1" applyBorder="1" applyAlignment="1">
      <alignment horizontal="center" vertical="center" wrapText="1"/>
    </xf>
    <xf numFmtId="0" fontId="7" fillId="34" borderId="15" xfId="0" applyFont="1" applyFill="1" applyBorder="1" applyAlignment="1">
      <alignment horizontal="center" wrapText="1"/>
    </xf>
    <xf numFmtId="0" fontId="7" fillId="34" borderId="13" xfId="0" applyFont="1" applyFill="1" applyBorder="1" applyAlignment="1">
      <alignment horizontal="center" wrapText="1"/>
    </xf>
    <xf numFmtId="0" fontId="7" fillId="34" borderId="15" xfId="0" applyFont="1" applyFill="1" applyBorder="1" applyAlignment="1">
      <alignment horizontal="center"/>
    </xf>
    <xf numFmtId="0" fontId="7" fillId="34" borderId="13" xfId="0" applyFont="1" applyFill="1" applyBorder="1" applyAlignment="1">
      <alignment horizontal="center"/>
    </xf>
    <xf numFmtId="0" fontId="7" fillId="0" borderId="0" xfId="0" applyFont="1" applyAlignment="1">
      <alignment horizontal="center"/>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left" vertical="top" wrapText="1"/>
    </xf>
    <xf numFmtId="0" fontId="3" fillId="0" borderId="15" xfId="0" applyFont="1" applyBorder="1" applyAlignment="1">
      <alignment horizontal="left" vertical="top" wrapText="1"/>
    </xf>
    <xf numFmtId="0" fontId="3" fillId="0" borderId="13" xfId="0" applyFont="1" applyBorder="1" applyAlignment="1">
      <alignment horizontal="left" vertical="top" wrapText="1"/>
    </xf>
    <xf numFmtId="0" fontId="7" fillId="34" borderId="12" xfId="0" applyFont="1" applyFill="1" applyBorder="1" applyAlignment="1">
      <alignment horizontal="center" wrapText="1"/>
    </xf>
    <xf numFmtId="0" fontId="7" fillId="34" borderId="17" xfId="0" applyFont="1" applyFill="1" applyBorder="1" applyAlignment="1">
      <alignment horizontal="center" wrapText="1"/>
    </xf>
    <xf numFmtId="0" fontId="3" fillId="0" borderId="15" xfId="0" applyFont="1" applyFill="1" applyBorder="1" applyAlignment="1">
      <alignment horizontal="center"/>
    </xf>
    <xf numFmtId="0" fontId="3" fillId="0" borderId="13" xfId="0" applyFont="1" applyFill="1" applyBorder="1" applyAlignment="1">
      <alignment horizontal="center"/>
    </xf>
    <xf numFmtId="2" fontId="3" fillId="0" borderId="15" xfId="0" applyNumberFormat="1" applyFont="1" applyFill="1" applyBorder="1" applyAlignment="1">
      <alignment horizontal="center"/>
    </xf>
    <xf numFmtId="2" fontId="3" fillId="0" borderId="13" xfId="0" applyNumberFormat="1" applyFont="1" applyFill="1" applyBorder="1" applyAlignment="1">
      <alignment horizontal="center"/>
    </xf>
    <xf numFmtId="0" fontId="3" fillId="0" borderId="19" xfId="0" applyFont="1" applyFill="1" applyBorder="1" applyAlignment="1">
      <alignment horizontal="center"/>
    </xf>
    <xf numFmtId="2" fontId="3" fillId="0" borderId="19" xfId="0" applyNumberFormat="1" applyFont="1" applyFill="1" applyBorder="1" applyAlignment="1">
      <alignment horizontal="center"/>
    </xf>
    <xf numFmtId="0" fontId="3" fillId="0" borderId="19" xfId="0" applyFont="1" applyBorder="1" applyAlignment="1">
      <alignment horizontal="left" vertical="top" wrapText="1"/>
    </xf>
    <xf numFmtId="0" fontId="7" fillId="0" borderId="12" xfId="0" applyFont="1" applyBorder="1" applyAlignment="1">
      <alignment horizontal="right"/>
    </xf>
    <xf numFmtId="0" fontId="7" fillId="0" borderId="14" xfId="0" applyFont="1" applyBorder="1" applyAlignment="1">
      <alignment horizontal="right"/>
    </xf>
    <xf numFmtId="0" fontId="7" fillId="0" borderId="17" xfId="0" applyFont="1" applyBorder="1" applyAlignment="1">
      <alignment horizontal="right"/>
    </xf>
    <xf numFmtId="3" fontId="3" fillId="0" borderId="15" xfId="0" applyNumberFormat="1" applyFont="1" applyFill="1" applyBorder="1" applyAlignment="1">
      <alignment horizontal="center"/>
    </xf>
    <xf numFmtId="0" fontId="60" fillId="0" borderId="0" xfId="0" applyFont="1" applyAlignment="1">
      <alignment horizontal="center" wrapText="1"/>
    </xf>
    <xf numFmtId="2" fontId="59" fillId="0" borderId="15" xfId="0" applyNumberFormat="1" applyFont="1" applyBorder="1" applyAlignment="1">
      <alignment horizontal="left" vertical="top" wrapText="1"/>
    </xf>
    <xf numFmtId="2" fontId="60" fillId="0" borderId="19" xfId="0" applyNumberFormat="1" applyFont="1" applyBorder="1" applyAlignment="1">
      <alignment horizontal="left" vertical="top" wrapText="1"/>
    </xf>
    <xf numFmtId="2" fontId="60" fillId="0" borderId="13" xfId="0" applyNumberFormat="1" applyFont="1" applyBorder="1" applyAlignment="1">
      <alignment horizontal="left" vertical="top" wrapText="1"/>
    </xf>
    <xf numFmtId="0" fontId="59" fillId="0" borderId="15"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5" xfId="0" applyFont="1" applyBorder="1" applyAlignment="1">
      <alignment horizontal="left" vertical="center" wrapText="1"/>
    </xf>
    <xf numFmtId="0" fontId="59" fillId="0" borderId="19" xfId="0" applyFont="1" applyBorder="1" applyAlignment="1">
      <alignment horizontal="left" vertical="center" wrapText="1"/>
    </xf>
    <xf numFmtId="0" fontId="59" fillId="0" borderId="13" xfId="0" applyFont="1" applyBorder="1" applyAlignment="1">
      <alignment horizontal="left" vertical="center" wrapText="1"/>
    </xf>
    <xf numFmtId="2" fontId="59" fillId="0" borderId="15" xfId="0" applyNumberFormat="1" applyFont="1" applyBorder="1" applyAlignment="1">
      <alignment horizontal="center" vertical="center"/>
    </xf>
    <xf numFmtId="2" fontId="59" fillId="0" borderId="19" xfId="0" applyNumberFormat="1" applyFont="1" applyBorder="1" applyAlignment="1">
      <alignment horizontal="center" vertical="center"/>
    </xf>
    <xf numFmtId="2" fontId="59" fillId="0" borderId="13" xfId="0" applyNumberFormat="1" applyFont="1" applyBorder="1" applyAlignment="1">
      <alignment horizontal="center" vertical="center"/>
    </xf>
    <xf numFmtId="2" fontId="59" fillId="0" borderId="15" xfId="0" applyNumberFormat="1" applyFont="1" applyBorder="1" applyAlignment="1">
      <alignment horizontal="left" vertical="center" wrapText="1"/>
    </xf>
    <xf numFmtId="2" fontId="59" fillId="0" borderId="19" xfId="0" applyNumberFormat="1" applyFont="1" applyBorder="1" applyAlignment="1">
      <alignment horizontal="left" vertical="center" wrapText="1"/>
    </xf>
    <xf numFmtId="2" fontId="59" fillId="0" borderId="13" xfId="0" applyNumberFormat="1" applyFont="1" applyBorder="1" applyAlignment="1">
      <alignment horizontal="left" vertical="center" wrapText="1"/>
    </xf>
    <xf numFmtId="2" fontId="59" fillId="0" borderId="19" xfId="0" applyNumberFormat="1" applyFont="1" applyBorder="1" applyAlignment="1">
      <alignment horizontal="left" vertical="top" wrapText="1"/>
    </xf>
    <xf numFmtId="2" fontId="59" fillId="0" borderId="13" xfId="0" applyNumberFormat="1" applyFont="1" applyBorder="1" applyAlignment="1">
      <alignment horizontal="left" vertical="top" wrapText="1"/>
    </xf>
    <xf numFmtId="2" fontId="59" fillId="0" borderId="16" xfId="0" applyNumberFormat="1" applyFont="1" applyBorder="1" applyAlignment="1">
      <alignment horizontal="center" vertical="center"/>
    </xf>
    <xf numFmtId="2" fontId="59" fillId="0" borderId="0" xfId="0" applyNumberFormat="1" applyFont="1" applyBorder="1" applyAlignment="1">
      <alignment horizontal="center" vertical="center"/>
    </xf>
    <xf numFmtId="2" fontId="59" fillId="0" borderId="18" xfId="0" applyNumberFormat="1" applyFont="1" applyBorder="1" applyAlignment="1">
      <alignment horizontal="center" vertical="center"/>
    </xf>
    <xf numFmtId="0" fontId="62" fillId="0" borderId="10" xfId="0" applyFont="1" applyBorder="1" applyAlignment="1">
      <alignment horizontal="center" wrapText="1"/>
    </xf>
    <xf numFmtId="0" fontId="62" fillId="0" borderId="10" xfId="0" applyFont="1" applyBorder="1" applyAlignment="1">
      <alignment horizontal="center"/>
    </xf>
    <xf numFmtId="2" fontId="59" fillId="0" borderId="10" xfId="0" applyNumberFormat="1" applyFont="1" applyBorder="1" applyAlignment="1">
      <alignment horizontal="left" vertical="top" wrapText="1"/>
    </xf>
    <xf numFmtId="2" fontId="59" fillId="0" borderId="15" xfId="0" applyNumberFormat="1" applyFont="1" applyBorder="1" applyAlignment="1">
      <alignment horizontal="center" vertical="center" wrapText="1"/>
    </xf>
    <xf numFmtId="2" fontId="59" fillId="0" borderId="19" xfId="0" applyNumberFormat="1" applyFont="1" applyBorder="1" applyAlignment="1">
      <alignment horizontal="center" vertical="center" wrapText="1"/>
    </xf>
    <xf numFmtId="2" fontId="59" fillId="0" borderId="13" xfId="0" applyNumberFormat="1" applyFont="1" applyBorder="1" applyAlignment="1">
      <alignment horizontal="center" vertical="center" wrapText="1"/>
    </xf>
    <xf numFmtId="2" fontId="59" fillId="33" borderId="15" xfId="0" applyNumberFormat="1" applyFont="1" applyFill="1" applyBorder="1" applyAlignment="1">
      <alignment horizontal="center" vertical="center"/>
    </xf>
    <xf numFmtId="2" fontId="59" fillId="33" borderId="19" xfId="0" applyNumberFormat="1" applyFont="1" applyFill="1" applyBorder="1" applyAlignment="1">
      <alignment horizontal="center" vertical="center"/>
    </xf>
    <xf numFmtId="2" fontId="59" fillId="33" borderId="13" xfId="0" applyNumberFormat="1" applyFont="1" applyFill="1" applyBorder="1" applyAlignment="1">
      <alignment horizontal="center" vertical="center"/>
    </xf>
    <xf numFmtId="2" fontId="3" fillId="0" borderId="15" xfId="0" applyNumberFormat="1" applyFont="1" applyBorder="1" applyAlignment="1">
      <alignment horizontal="left" vertical="top" wrapText="1"/>
    </xf>
    <xf numFmtId="2" fontId="3" fillId="0" borderId="19" xfId="0" applyNumberFormat="1" applyFont="1" applyBorder="1" applyAlignment="1">
      <alignment horizontal="left" vertical="top" wrapText="1"/>
    </xf>
    <xf numFmtId="2" fontId="3" fillId="0" borderId="13" xfId="0" applyNumberFormat="1" applyFont="1" applyBorder="1" applyAlignment="1">
      <alignment horizontal="left" vertical="top" wrapText="1"/>
    </xf>
    <xf numFmtId="0" fontId="59" fillId="0" borderId="0" xfId="0" applyFont="1" applyAlignment="1">
      <alignment horizontal="center" vertical="center" wrapText="1"/>
    </xf>
    <xf numFmtId="0" fontId="3" fillId="0" borderId="19" xfId="0" applyFont="1" applyBorder="1" applyAlignment="1">
      <alignment horizontal="center" vertical="center" wrapText="1"/>
    </xf>
    <xf numFmtId="0" fontId="59" fillId="0" borderId="15" xfId="0" applyFont="1" applyBorder="1" applyAlignment="1">
      <alignment horizontal="left" wrapText="1"/>
    </xf>
    <xf numFmtId="0" fontId="59" fillId="0" borderId="19" xfId="0" applyFont="1" applyBorder="1" applyAlignment="1">
      <alignment horizontal="left" wrapText="1"/>
    </xf>
    <xf numFmtId="0" fontId="59" fillId="0" borderId="13" xfId="0" applyFont="1" applyBorder="1" applyAlignment="1">
      <alignment horizontal="left" wrapText="1"/>
    </xf>
    <xf numFmtId="0" fontId="59" fillId="0" borderId="15" xfId="0" applyFont="1" applyBorder="1" applyAlignment="1">
      <alignment horizontal="center" wrapText="1"/>
    </xf>
    <xf numFmtId="0" fontId="59" fillId="0" borderId="19" xfId="0" applyFont="1" applyBorder="1" applyAlignment="1">
      <alignment horizontal="center" wrapText="1"/>
    </xf>
    <xf numFmtId="0" fontId="59" fillId="0" borderId="13" xfId="0" applyFont="1" applyBorder="1" applyAlignment="1">
      <alignment horizontal="center" wrapText="1"/>
    </xf>
    <xf numFmtId="0" fontId="62" fillId="0" borderId="12" xfId="0" applyFont="1" applyBorder="1" applyAlignment="1">
      <alignment horizontal="right" vertical="center" wrapText="1"/>
    </xf>
    <xf numFmtId="0" fontId="62" fillId="0" borderId="14" xfId="0" applyFont="1" applyBorder="1" applyAlignment="1">
      <alignment horizontal="right" vertical="center" wrapText="1"/>
    </xf>
    <xf numFmtId="0" fontId="62" fillId="0" borderId="17" xfId="0" applyFont="1" applyBorder="1" applyAlignment="1">
      <alignment horizontal="right" vertical="center" wrapText="1"/>
    </xf>
    <xf numFmtId="0" fontId="62" fillId="0" borderId="12" xfId="0" applyFont="1" applyBorder="1" applyAlignment="1">
      <alignment horizontal="left" vertical="center"/>
    </xf>
    <xf numFmtId="0" fontId="62" fillId="0" borderId="14" xfId="0" applyFont="1" applyBorder="1" applyAlignment="1">
      <alignment horizontal="left" vertical="center"/>
    </xf>
    <xf numFmtId="0" fontId="60" fillId="0" borderId="12" xfId="0" applyFont="1" applyBorder="1" applyAlignment="1">
      <alignment horizontal="left" vertical="center"/>
    </xf>
    <xf numFmtId="0" fontId="60" fillId="0" borderId="14" xfId="0" applyFont="1" applyBorder="1" applyAlignment="1">
      <alignment horizontal="left" vertical="center"/>
    </xf>
    <xf numFmtId="0" fontId="59" fillId="0" borderId="12" xfId="0" applyFont="1" applyBorder="1" applyAlignment="1">
      <alignment horizontal="right" vertical="center" wrapText="1"/>
    </xf>
    <xf numFmtId="0" fontId="59" fillId="0" borderId="14" xfId="0" applyFont="1" applyBorder="1" applyAlignment="1">
      <alignment horizontal="right" vertical="center" wrapText="1"/>
    </xf>
    <xf numFmtId="0" fontId="59" fillId="0" borderId="17" xfId="0" applyFont="1" applyBorder="1" applyAlignment="1">
      <alignment horizontal="right" vertical="center" wrapText="1"/>
    </xf>
    <xf numFmtId="0" fontId="59" fillId="0" borderId="12" xfId="0" applyFont="1" applyBorder="1" applyAlignment="1">
      <alignment horizontal="right" vertical="center"/>
    </xf>
    <xf numFmtId="0" fontId="59" fillId="0" borderId="14" xfId="0" applyFont="1" applyBorder="1" applyAlignment="1">
      <alignment horizontal="right" vertical="center"/>
    </xf>
    <xf numFmtId="0" fontId="59" fillId="0" borderId="17" xfId="0" applyFont="1" applyBorder="1" applyAlignment="1">
      <alignment horizontal="right" vertical="center"/>
    </xf>
    <xf numFmtId="0" fontId="62" fillId="0" borderId="12" xfId="0" applyFont="1" applyBorder="1" applyAlignment="1">
      <alignment horizontal="left" vertical="center" wrapText="1"/>
    </xf>
    <xf numFmtId="0" fontId="62" fillId="0" borderId="14" xfId="0" applyFont="1" applyBorder="1" applyAlignment="1">
      <alignment horizontal="left" vertical="center" wrapText="1"/>
    </xf>
    <xf numFmtId="0" fontId="60" fillId="34" borderId="10" xfId="0" applyFont="1" applyFill="1" applyBorder="1" applyAlignment="1">
      <alignment horizontal="center" wrapText="1"/>
    </xf>
    <xf numFmtId="0" fontId="60" fillId="34" borderId="15" xfId="0" applyFont="1" applyFill="1" applyBorder="1" applyAlignment="1">
      <alignment horizontal="center" wrapText="1"/>
    </xf>
    <xf numFmtId="0" fontId="60" fillId="34" borderId="19" xfId="0" applyFont="1" applyFill="1" applyBorder="1" applyAlignment="1">
      <alignment horizontal="center" wrapText="1"/>
    </xf>
    <xf numFmtId="0" fontId="60" fillId="34" borderId="13" xfId="0" applyFont="1" applyFill="1" applyBorder="1" applyAlignment="1">
      <alignment horizontal="center" wrapText="1"/>
    </xf>
    <xf numFmtId="0" fontId="59" fillId="0" borderId="15" xfId="0" applyFont="1" applyBorder="1" applyAlignment="1">
      <alignment horizontal="center" vertical="center"/>
    </xf>
    <xf numFmtId="0" fontId="59" fillId="0" borderId="19" xfId="0" applyFont="1" applyBorder="1" applyAlignment="1">
      <alignment horizontal="center" vertical="center"/>
    </xf>
    <xf numFmtId="0" fontId="59" fillId="0" borderId="13" xfId="0" applyFont="1" applyBorder="1" applyAlignment="1">
      <alignment horizontal="center" vertical="center"/>
    </xf>
    <xf numFmtId="0" fontId="59" fillId="0" borderId="10" xfId="0" applyFont="1" applyBorder="1" applyAlignment="1">
      <alignment horizontal="center" wrapText="1"/>
    </xf>
    <xf numFmtId="0" fontId="59" fillId="0" borderId="10" xfId="0" applyFont="1" applyBorder="1" applyAlignment="1">
      <alignment horizontal="center" vertical="center"/>
    </xf>
    <xf numFmtId="0" fontId="59" fillId="0" borderId="10" xfId="0" applyFont="1" applyBorder="1" applyAlignment="1">
      <alignment horizontal="left" wrapText="1"/>
    </xf>
    <xf numFmtId="0" fontId="67" fillId="0" borderId="0" xfId="0" applyFont="1" applyAlignment="1">
      <alignment horizontal="left" vertical="top" wrapText="1"/>
    </xf>
    <xf numFmtId="0" fontId="59" fillId="34" borderId="12" xfId="0" applyFont="1" applyFill="1" applyBorder="1" applyAlignment="1">
      <alignment horizontal="center" vertical="center" wrapText="1"/>
    </xf>
    <xf numFmtId="0" fontId="59" fillId="34" borderId="17" xfId="0" applyFont="1" applyFill="1" applyBorder="1" applyAlignment="1">
      <alignment horizontal="center" vertical="center" wrapText="1"/>
    </xf>
    <xf numFmtId="0" fontId="62" fillId="34" borderId="10" xfId="0" applyFont="1" applyFill="1" applyBorder="1" applyAlignment="1">
      <alignment horizontal="left" wrapText="1"/>
    </xf>
    <xf numFmtId="0" fontId="67" fillId="0" borderId="12" xfId="0" applyFont="1" applyBorder="1" applyAlignment="1">
      <alignment horizontal="right"/>
    </xf>
    <xf numFmtId="0" fontId="67" fillId="0" borderId="14" xfId="0" applyFont="1" applyBorder="1" applyAlignment="1">
      <alignment horizontal="right"/>
    </xf>
    <xf numFmtId="0" fontId="67" fillId="0" borderId="17" xfId="0" applyFont="1" applyBorder="1" applyAlignment="1">
      <alignment horizontal="right"/>
    </xf>
    <xf numFmtId="0" fontId="66" fillId="0" borderId="15"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0" fillId="0" borderId="0" xfId="0" applyAlignment="1">
      <alignment horizontal="center"/>
    </xf>
    <xf numFmtId="0" fontId="66" fillId="0" borderId="10" xfId="0" applyFont="1" applyFill="1" applyBorder="1" applyAlignment="1">
      <alignment horizontal="right" vertical="center" wrapText="1"/>
    </xf>
    <xf numFmtId="0" fontId="68" fillId="0" borderId="10" xfId="0" applyFont="1" applyFill="1" applyBorder="1" applyAlignment="1">
      <alignment horizontal="right" vertical="center" wrapText="1"/>
    </xf>
    <xf numFmtId="0" fontId="68" fillId="0" borderId="12" xfId="0" applyFont="1" applyFill="1" applyBorder="1" applyAlignment="1">
      <alignment horizontal="left" vertical="center" wrapText="1"/>
    </xf>
    <xf numFmtId="0" fontId="68" fillId="0" borderId="14"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68" fillId="0" borderId="12" xfId="0" applyFont="1" applyFill="1" applyBorder="1" applyAlignment="1">
      <alignment horizontal="left" vertical="center"/>
    </xf>
    <xf numFmtId="0" fontId="68" fillId="0" borderId="14" xfId="0" applyFont="1" applyFill="1" applyBorder="1" applyAlignment="1">
      <alignment horizontal="left" vertical="center"/>
    </xf>
    <xf numFmtId="0" fontId="68" fillId="0" borderId="17" xfId="0" applyFont="1" applyFill="1" applyBorder="1" applyAlignment="1">
      <alignment horizontal="left" vertical="center"/>
    </xf>
    <xf numFmtId="3" fontId="3" fillId="0" borderId="10" xfId="0" applyNumberFormat="1" applyFont="1" applyFill="1" applyBorder="1" applyAlignment="1">
      <alignment horizontal="center"/>
    </xf>
    <xf numFmtId="2" fontId="3" fillId="0" borderId="10" xfId="0" applyNumberFormat="1" applyFont="1" applyFill="1" applyBorder="1" applyAlignment="1">
      <alignment horizontal="center"/>
    </xf>
  </cellXfs>
  <cellStyles count="51">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rmal 3" xfId="51"/>
    <cellStyle name="Nosaukums"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20"/>
  <sheetViews>
    <sheetView showGridLines="0" zoomScalePageLayoutView="0" workbookViewId="0" topLeftCell="A1">
      <selection activeCell="L5" sqref="L5"/>
    </sheetView>
  </sheetViews>
  <sheetFormatPr defaultColWidth="9.140625" defaultRowHeight="15"/>
  <cols>
    <col min="1" max="1" width="16.421875" style="0" customWidth="1"/>
    <col min="13" max="13" width="14.00390625" style="0" customWidth="1"/>
  </cols>
  <sheetData>
    <row r="1" spans="6:13" ht="69" customHeight="1">
      <c r="F1" s="169" t="s">
        <v>335</v>
      </c>
      <c r="G1" s="169"/>
      <c r="H1" s="169"/>
      <c r="I1" s="169"/>
      <c r="J1" s="169"/>
      <c r="K1" s="169"/>
      <c r="L1" s="169"/>
      <c r="M1" s="169"/>
    </row>
    <row r="2" spans="6:13" ht="14.25">
      <c r="F2" s="7"/>
      <c r="G2" s="7"/>
      <c r="H2" s="7"/>
      <c r="I2" s="7"/>
      <c r="J2" s="7"/>
      <c r="K2" s="7"/>
      <c r="L2" s="7"/>
      <c r="M2" s="7"/>
    </row>
    <row r="3" spans="6:13" ht="15">
      <c r="F3" s="7"/>
      <c r="G3" s="7"/>
      <c r="H3" s="170" t="s">
        <v>325</v>
      </c>
      <c r="I3" s="170"/>
      <c r="J3" s="170"/>
      <c r="K3" s="170"/>
      <c r="L3" s="170"/>
      <c r="M3" s="170"/>
    </row>
    <row r="4" spans="1:13" ht="35.25" customHeight="1">
      <c r="A4" s="171" t="s">
        <v>145</v>
      </c>
      <c r="B4" s="171"/>
      <c r="C4" s="171"/>
      <c r="D4" s="171"/>
      <c r="E4" s="171"/>
      <c r="F4" s="171"/>
      <c r="G4" s="171"/>
      <c r="H4" s="171"/>
      <c r="I4" s="171"/>
      <c r="J4" s="171"/>
      <c r="K4" s="171"/>
      <c r="L4" s="171"/>
      <c r="M4" s="171"/>
    </row>
    <row r="6" spans="1:13" ht="18">
      <c r="A6" s="168" t="s">
        <v>0</v>
      </c>
      <c r="B6" s="168"/>
      <c r="C6" s="168"/>
      <c r="D6" s="168"/>
      <c r="E6" s="168"/>
      <c r="F6" s="168"/>
      <c r="G6" s="168"/>
      <c r="H6" s="168"/>
      <c r="I6" s="168"/>
      <c r="J6" s="168"/>
      <c r="K6" s="168"/>
      <c r="L6" s="168"/>
      <c r="M6" s="168"/>
    </row>
    <row r="7" spans="1:13" ht="18.75" customHeight="1">
      <c r="A7" s="11" t="s">
        <v>2</v>
      </c>
      <c r="B7" s="172" t="s">
        <v>1</v>
      </c>
      <c r="C7" s="172"/>
      <c r="D7" s="172"/>
      <c r="E7" s="172"/>
      <c r="F7" s="172"/>
      <c r="G7" s="172"/>
      <c r="H7" s="172"/>
      <c r="I7" s="172"/>
      <c r="J7" s="172"/>
      <c r="K7" s="172"/>
      <c r="L7" s="172"/>
      <c r="M7" s="172"/>
    </row>
    <row r="8" spans="1:13" s="5" customFormat="1" ht="24" customHeight="1">
      <c r="A8" s="157" t="s">
        <v>282</v>
      </c>
      <c r="B8" s="164" t="s">
        <v>146</v>
      </c>
      <c r="C8" s="164"/>
      <c r="D8" s="164"/>
      <c r="E8" s="164"/>
      <c r="F8" s="164"/>
      <c r="G8" s="164"/>
      <c r="H8" s="164"/>
      <c r="I8" s="164"/>
      <c r="J8" s="164"/>
      <c r="K8" s="164"/>
      <c r="L8" s="164"/>
      <c r="M8" s="164"/>
    </row>
    <row r="9" spans="1:24" ht="22.5" customHeight="1">
      <c r="A9" s="157" t="s">
        <v>280</v>
      </c>
      <c r="B9" s="164" t="s">
        <v>64</v>
      </c>
      <c r="C9" s="164"/>
      <c r="D9" s="164"/>
      <c r="E9" s="164"/>
      <c r="F9" s="164"/>
      <c r="G9" s="164"/>
      <c r="H9" s="164"/>
      <c r="I9" s="164"/>
      <c r="J9" s="164"/>
      <c r="K9" s="164"/>
      <c r="L9" s="164"/>
      <c r="M9" s="164"/>
      <c r="N9" s="8"/>
      <c r="O9" s="9"/>
      <c r="P9" s="9"/>
      <c r="Q9" s="9"/>
      <c r="R9" s="9"/>
      <c r="S9" s="9"/>
      <c r="T9" s="9"/>
      <c r="U9" s="9"/>
      <c r="V9" s="9"/>
      <c r="W9" s="9"/>
      <c r="X9" s="9"/>
    </row>
    <row r="10" spans="1:24" s="6" customFormat="1" ht="21" customHeight="1">
      <c r="A10" s="157" t="s">
        <v>279</v>
      </c>
      <c r="B10" s="165" t="str">
        <f>'8.3.pielikums'!B6:P6</f>
        <v>Ar PR pakalpojuma  prasību nodrošināšanu saistītās izmaksas</v>
      </c>
      <c r="C10" s="166"/>
      <c r="D10" s="166"/>
      <c r="E10" s="166"/>
      <c r="F10" s="166"/>
      <c r="G10" s="166"/>
      <c r="H10" s="166"/>
      <c r="I10" s="166"/>
      <c r="J10" s="166"/>
      <c r="K10" s="166"/>
      <c r="L10" s="166"/>
      <c r="M10" s="167"/>
      <c r="N10" s="8"/>
      <c r="O10" s="9"/>
      <c r="P10" s="9"/>
      <c r="Q10" s="9"/>
      <c r="R10" s="9"/>
      <c r="S10" s="9"/>
      <c r="T10" s="9"/>
      <c r="U10" s="9"/>
      <c r="V10" s="9"/>
      <c r="W10" s="9"/>
      <c r="X10" s="9"/>
    </row>
    <row r="11" spans="1:22" s="5" customFormat="1" ht="18.75" customHeight="1">
      <c r="A11" s="157" t="s">
        <v>278</v>
      </c>
      <c r="B11" s="176" t="str">
        <f>'8.4.pielikums'!B4:G4</f>
        <v>Informācijas izplatīšana par autismu un iespējamu dalību PR pakalpojumā </v>
      </c>
      <c r="C11" s="177"/>
      <c r="D11" s="177"/>
      <c r="E11" s="177"/>
      <c r="F11" s="177"/>
      <c r="G11" s="177"/>
      <c r="H11" s="177"/>
      <c r="I11" s="177"/>
      <c r="J11" s="177"/>
      <c r="K11" s="177"/>
      <c r="L11" s="177"/>
      <c r="M11" s="178"/>
      <c r="N11" s="8"/>
      <c r="O11" s="9"/>
      <c r="P11" s="9"/>
      <c r="Q11" s="9"/>
      <c r="R11" s="9"/>
      <c r="S11" s="9"/>
      <c r="T11" s="9"/>
      <c r="U11" s="9"/>
      <c r="V11" s="9"/>
    </row>
    <row r="12" spans="1:22" ht="18.75" customHeight="1">
      <c r="A12" s="157" t="s">
        <v>283</v>
      </c>
      <c r="B12" s="164" t="str">
        <f>'8.5.pielikums'!B5:G5</f>
        <v>Apkopotā informācija par veiktajām tirgus izpētēm</v>
      </c>
      <c r="C12" s="164"/>
      <c r="D12" s="164"/>
      <c r="E12" s="164"/>
      <c r="F12" s="164"/>
      <c r="G12" s="164"/>
      <c r="H12" s="164"/>
      <c r="I12" s="164"/>
      <c r="J12" s="164"/>
      <c r="K12" s="164"/>
      <c r="L12" s="164"/>
      <c r="M12" s="164"/>
      <c r="N12" s="8"/>
      <c r="O12" s="9"/>
      <c r="P12" s="9"/>
      <c r="Q12" s="9"/>
      <c r="R12" s="9"/>
      <c r="S12" s="9"/>
      <c r="T12" s="9"/>
      <c r="U12" s="9"/>
      <c r="V12" s="9"/>
    </row>
    <row r="13" spans="1:13" ht="18.75" customHeight="1">
      <c r="A13" s="157" t="s">
        <v>284</v>
      </c>
      <c r="B13" s="179" t="str">
        <f>'8.6.pielikums'!B5:F5</f>
        <v>PR pakalpojuma veida - radošo darbnīcu darba materiālu izmaksu aprēķins</v>
      </c>
      <c r="C13" s="179"/>
      <c r="D13" s="179"/>
      <c r="E13" s="179"/>
      <c r="F13" s="179"/>
      <c r="G13" s="179"/>
      <c r="H13" s="179"/>
      <c r="I13" s="179"/>
      <c r="J13" s="179"/>
      <c r="K13" s="179"/>
      <c r="L13" s="179"/>
      <c r="M13" s="179"/>
    </row>
    <row r="14" spans="1:19" ht="17.25" customHeight="1">
      <c r="A14" s="157" t="s">
        <v>275</v>
      </c>
      <c r="B14" s="173" t="str">
        <f>'8.7.pielikums'!B4:L4</f>
        <v>PR pakalpojuma atbalsta grupu vadītāju - līdzinieku apmācības</v>
      </c>
      <c r="C14" s="174"/>
      <c r="D14" s="174"/>
      <c r="E14" s="174"/>
      <c r="F14" s="174"/>
      <c r="G14" s="174"/>
      <c r="H14" s="174"/>
      <c r="I14" s="174"/>
      <c r="J14" s="174"/>
      <c r="K14" s="174"/>
      <c r="L14" s="174"/>
      <c r="M14" s="175"/>
      <c r="N14" s="10"/>
      <c r="O14" s="10"/>
      <c r="P14" s="10"/>
      <c r="Q14" s="10"/>
      <c r="R14" s="10"/>
      <c r="S14" s="10"/>
    </row>
    <row r="15" spans="1:13" ht="15" customHeight="1">
      <c r="A15" s="157" t="s">
        <v>285</v>
      </c>
      <c r="B15" s="173" t="s">
        <v>237</v>
      </c>
      <c r="C15" s="174"/>
      <c r="D15" s="174"/>
      <c r="E15" s="174"/>
      <c r="F15" s="174"/>
      <c r="G15" s="174"/>
      <c r="H15" s="174"/>
      <c r="I15" s="174"/>
      <c r="J15" s="174"/>
      <c r="K15" s="174"/>
      <c r="L15" s="174"/>
      <c r="M15" s="175"/>
    </row>
    <row r="16" spans="1:13" ht="15.75" customHeight="1">
      <c r="A16" s="157" t="s">
        <v>286</v>
      </c>
      <c r="B16" s="173" t="s">
        <v>152</v>
      </c>
      <c r="C16" s="174"/>
      <c r="D16" s="174"/>
      <c r="E16" s="174"/>
      <c r="F16" s="174"/>
      <c r="G16" s="174"/>
      <c r="H16" s="174"/>
      <c r="I16" s="174"/>
      <c r="J16" s="174"/>
      <c r="K16" s="174"/>
      <c r="L16" s="174"/>
      <c r="M16" s="175"/>
    </row>
    <row r="17" spans="1:13" ht="15" customHeight="1">
      <c r="A17" s="157" t="s">
        <v>324</v>
      </c>
      <c r="B17" s="173" t="s">
        <v>323</v>
      </c>
      <c r="C17" s="174"/>
      <c r="D17" s="174"/>
      <c r="E17" s="174"/>
      <c r="F17" s="174"/>
      <c r="G17" s="174"/>
      <c r="H17" s="174"/>
      <c r="I17" s="174"/>
      <c r="J17" s="174"/>
      <c r="K17" s="174"/>
      <c r="L17" s="174"/>
      <c r="M17" s="175"/>
    </row>
    <row r="18" spans="1:13" ht="15">
      <c r="A18" s="157" t="s">
        <v>334</v>
      </c>
      <c r="B18" s="173" t="s">
        <v>256</v>
      </c>
      <c r="C18" s="174"/>
      <c r="D18" s="174"/>
      <c r="E18" s="174"/>
      <c r="F18" s="174"/>
      <c r="G18" s="174"/>
      <c r="H18" s="174"/>
      <c r="I18" s="174"/>
      <c r="J18" s="174"/>
      <c r="K18" s="174"/>
      <c r="L18" s="174"/>
      <c r="M18" s="175"/>
    </row>
    <row r="19" ht="15">
      <c r="B19" s="1"/>
    </row>
    <row r="20" ht="15">
      <c r="B20" s="1"/>
    </row>
  </sheetData>
  <sheetProtection/>
  <mergeCells count="16">
    <mergeCell ref="B18:M18"/>
    <mergeCell ref="B17:M17"/>
    <mergeCell ref="B15:M15"/>
    <mergeCell ref="B16:M16"/>
    <mergeCell ref="B14:M14"/>
    <mergeCell ref="B11:M11"/>
    <mergeCell ref="B13:M13"/>
    <mergeCell ref="B8:M8"/>
    <mergeCell ref="B9:M9"/>
    <mergeCell ref="B10:M10"/>
    <mergeCell ref="B12:M12"/>
    <mergeCell ref="A6:M6"/>
    <mergeCell ref="F1:M1"/>
    <mergeCell ref="H3:M3"/>
    <mergeCell ref="A4:M4"/>
    <mergeCell ref="B7:M7"/>
  </mergeCells>
  <printOptions/>
  <pageMargins left="0.25" right="0.25" top="0.75" bottom="0.75" header="0.3" footer="0.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B2:K17"/>
  <sheetViews>
    <sheetView showGridLines="0" zoomScale="80" zoomScaleNormal="80" zoomScalePageLayoutView="0" workbookViewId="0" topLeftCell="C10">
      <selection activeCell="G11" sqref="G11:G13"/>
    </sheetView>
  </sheetViews>
  <sheetFormatPr defaultColWidth="9.140625" defaultRowHeight="15"/>
  <cols>
    <col min="2" max="2" width="45.28125" style="0" customWidth="1"/>
    <col min="3" max="3" width="22.57421875" style="0" customWidth="1"/>
    <col min="4" max="4" width="24.28125" style="0" customWidth="1"/>
    <col min="5" max="5" width="13.57421875" style="0" customWidth="1"/>
    <col min="6" max="6" width="16.00390625" style="0" customWidth="1"/>
    <col min="7" max="7" width="60.57421875" style="0" customWidth="1"/>
  </cols>
  <sheetData>
    <row r="2" spans="3:11" ht="15">
      <c r="C2" s="14"/>
      <c r="D2" s="14"/>
      <c r="E2" s="14"/>
      <c r="F2" s="14"/>
      <c r="G2" s="57" t="s">
        <v>273</v>
      </c>
      <c r="H2" s="14"/>
      <c r="I2" s="14"/>
      <c r="J2" s="189" t="s">
        <v>147</v>
      </c>
      <c r="K2" s="189"/>
    </row>
    <row r="3" spans="3:11" ht="15">
      <c r="C3" s="14"/>
      <c r="D3" s="14"/>
      <c r="E3" s="14"/>
      <c r="F3" s="14"/>
      <c r="G3" s="14"/>
      <c r="H3" s="14"/>
      <c r="I3" s="14"/>
      <c r="J3" s="14"/>
      <c r="K3" s="14"/>
    </row>
    <row r="4" spans="2:11" ht="37.5" customHeight="1">
      <c r="B4" s="192" t="s">
        <v>152</v>
      </c>
      <c r="C4" s="192"/>
      <c r="D4" s="192"/>
      <c r="E4" s="192"/>
      <c r="F4" s="192"/>
      <c r="G4" s="192"/>
      <c r="H4" s="43"/>
      <c r="I4" s="43"/>
      <c r="J4" s="43"/>
      <c r="K4" s="14"/>
    </row>
    <row r="6" spans="2:7" s="5" customFormat="1" ht="54" customHeight="1">
      <c r="B6" s="127" t="s">
        <v>6</v>
      </c>
      <c r="C6" s="121" t="s">
        <v>67</v>
      </c>
      <c r="D6" s="121" t="s">
        <v>68</v>
      </c>
      <c r="E6" s="121" t="s">
        <v>66</v>
      </c>
      <c r="F6" s="121" t="s">
        <v>118</v>
      </c>
      <c r="G6" s="121" t="s">
        <v>71</v>
      </c>
    </row>
    <row r="7" spans="2:7" ht="78" customHeight="1">
      <c r="B7" s="230" t="s">
        <v>198</v>
      </c>
      <c r="C7" s="287" t="s">
        <v>203</v>
      </c>
      <c r="D7" s="12" t="s">
        <v>202</v>
      </c>
      <c r="E7" s="12">
        <v>126</v>
      </c>
      <c r="F7" s="288">
        <f>266.5+12.76</f>
        <v>279.26</v>
      </c>
      <c r="G7" s="289" t="s">
        <v>352</v>
      </c>
    </row>
    <row r="8" spans="2:7" ht="46.5" customHeight="1">
      <c r="B8" s="230"/>
      <c r="C8" s="287"/>
      <c r="D8" s="12" t="s">
        <v>204</v>
      </c>
      <c r="E8" s="12">
        <v>129</v>
      </c>
      <c r="F8" s="288"/>
      <c r="G8" s="289"/>
    </row>
    <row r="9" spans="2:7" ht="60" customHeight="1">
      <c r="B9" s="230"/>
      <c r="C9" s="287"/>
      <c r="D9" s="12" t="s">
        <v>205</v>
      </c>
      <c r="E9" s="12">
        <v>255</v>
      </c>
      <c r="F9" s="288"/>
      <c r="G9" s="289"/>
    </row>
    <row r="10" spans="2:7" ht="90" customHeight="1">
      <c r="B10" s="230"/>
      <c r="C10" s="287"/>
      <c r="D10" s="67" t="s">
        <v>206</v>
      </c>
      <c r="E10" s="12">
        <v>23</v>
      </c>
      <c r="F10" s="288"/>
      <c r="G10" s="289"/>
    </row>
    <row r="11" spans="2:7" ht="24.75" customHeight="1">
      <c r="B11" s="288" t="s">
        <v>207</v>
      </c>
      <c r="C11" s="230" t="s">
        <v>211</v>
      </c>
      <c r="D11" s="67" t="s">
        <v>208</v>
      </c>
      <c r="E11" s="12">
        <v>72</v>
      </c>
      <c r="F11" s="284">
        <v>864</v>
      </c>
      <c r="G11" s="289" t="s">
        <v>351</v>
      </c>
    </row>
    <row r="12" spans="2:7" ht="38.25" customHeight="1">
      <c r="B12" s="288"/>
      <c r="C12" s="230"/>
      <c r="D12" s="67" t="s">
        <v>209</v>
      </c>
      <c r="E12" s="12">
        <v>89</v>
      </c>
      <c r="F12" s="285"/>
      <c r="G12" s="289"/>
    </row>
    <row r="13" spans="2:7" ht="46.5" customHeight="1">
      <c r="B13" s="288"/>
      <c r="C13" s="230"/>
      <c r="D13" s="67" t="s">
        <v>210</v>
      </c>
      <c r="E13" s="12">
        <v>95</v>
      </c>
      <c r="F13" s="286"/>
      <c r="G13" s="289"/>
    </row>
    <row r="14" spans="2:7" ht="48" customHeight="1">
      <c r="B14" s="227" t="s">
        <v>247</v>
      </c>
      <c r="C14" s="227" t="s">
        <v>252</v>
      </c>
      <c r="D14" s="67" t="s">
        <v>248</v>
      </c>
      <c r="E14" s="67">
        <f>11*2</f>
        <v>22</v>
      </c>
      <c r="F14" s="284">
        <f>AVERAGE(E14:E17)</f>
        <v>17.35</v>
      </c>
      <c r="G14" s="231" t="s">
        <v>350</v>
      </c>
    </row>
    <row r="15" spans="2:7" ht="48" customHeight="1">
      <c r="B15" s="228"/>
      <c r="C15" s="228"/>
      <c r="D15" s="67" t="s">
        <v>249</v>
      </c>
      <c r="E15" s="67">
        <f>9.66*2</f>
        <v>19.32</v>
      </c>
      <c r="F15" s="285"/>
      <c r="G15" s="232"/>
    </row>
    <row r="16" spans="2:7" ht="48" customHeight="1">
      <c r="B16" s="228"/>
      <c r="C16" s="228"/>
      <c r="D16" s="67" t="s">
        <v>250</v>
      </c>
      <c r="E16" s="67">
        <f>5.48*2</f>
        <v>10.96</v>
      </c>
      <c r="F16" s="285"/>
      <c r="G16" s="232"/>
    </row>
    <row r="17" spans="2:7" ht="52.5" customHeight="1">
      <c r="B17" s="229"/>
      <c r="C17" s="229"/>
      <c r="D17" s="67" t="s">
        <v>251</v>
      </c>
      <c r="E17" s="67">
        <f>8.56*2</f>
        <v>17.12</v>
      </c>
      <c r="F17" s="286"/>
      <c r="G17" s="233"/>
    </row>
  </sheetData>
  <sheetProtection/>
  <mergeCells count="14">
    <mergeCell ref="B14:B17"/>
    <mergeCell ref="C14:C17"/>
    <mergeCell ref="F14:F17"/>
    <mergeCell ref="G14:G17"/>
    <mergeCell ref="G11:G13"/>
    <mergeCell ref="C11:C13"/>
    <mergeCell ref="B11:B13"/>
    <mergeCell ref="B7:B10"/>
    <mergeCell ref="F11:F13"/>
    <mergeCell ref="J2:K2"/>
    <mergeCell ref="B4:G4"/>
    <mergeCell ref="C7:C10"/>
    <mergeCell ref="F7:F10"/>
    <mergeCell ref="G7:G10"/>
  </mergeCells>
  <printOptions/>
  <pageMargins left="0.25" right="0.25" top="0.75" bottom="0.75" header="0.3" footer="0.3"/>
  <pageSetup fitToHeight="0" fitToWidth="1"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sheetPr>
    <pageSetUpPr fitToPage="1"/>
  </sheetPr>
  <dimension ref="C1:M40"/>
  <sheetViews>
    <sheetView showGridLines="0" zoomScale="84" zoomScaleNormal="84" zoomScalePageLayoutView="0" workbookViewId="0" topLeftCell="A38">
      <selection activeCell="C40" sqref="C40:L40"/>
    </sheetView>
  </sheetViews>
  <sheetFormatPr defaultColWidth="9.140625" defaultRowHeight="15"/>
  <cols>
    <col min="1" max="1" width="2.7109375" style="0" customWidth="1"/>
    <col min="2" max="2" width="5.28125" style="0" customWidth="1"/>
    <col min="3" max="3" width="43.421875" style="0" customWidth="1"/>
    <col min="4" max="4" width="19.421875" style="0" customWidth="1"/>
    <col min="5" max="5" width="14.28125" style="0" hidden="1" customWidth="1"/>
    <col min="6" max="7" width="14.28125" style="5" customWidth="1"/>
    <col min="8" max="8" width="14.28125" style="0" hidden="1" customWidth="1"/>
    <col min="9" max="10" width="14.28125" style="5" customWidth="1"/>
    <col min="11" max="11" width="21.421875" style="0" customWidth="1"/>
  </cols>
  <sheetData>
    <row r="1" spans="3:11" s="5" customFormat="1" ht="15">
      <c r="C1" s="14"/>
      <c r="D1" s="14"/>
      <c r="E1" s="14"/>
      <c r="F1" s="14"/>
      <c r="G1" s="142"/>
      <c r="H1" s="14"/>
      <c r="I1" s="14"/>
      <c r="J1" s="189" t="s">
        <v>322</v>
      </c>
      <c r="K1" s="189"/>
    </row>
    <row r="2" spans="3:11" s="5" customFormat="1" ht="15">
      <c r="C2" s="14"/>
      <c r="D2" s="14"/>
      <c r="E2" s="14"/>
      <c r="F2" s="14"/>
      <c r="G2" s="14"/>
      <c r="H2" s="14"/>
      <c r="I2" s="14"/>
      <c r="J2" s="14"/>
      <c r="K2" s="14"/>
    </row>
    <row r="3" spans="3:11" s="5" customFormat="1" ht="21.75" customHeight="1">
      <c r="C3" s="192" t="s">
        <v>323</v>
      </c>
      <c r="D3" s="192"/>
      <c r="E3" s="192"/>
      <c r="F3" s="192"/>
      <c r="G3" s="192"/>
      <c r="H3" s="192"/>
      <c r="I3" s="192"/>
      <c r="J3" s="192"/>
      <c r="K3" s="192"/>
    </row>
    <row r="6" spans="3:11" s="5" customFormat="1" ht="60" customHeight="1">
      <c r="C6" s="151" t="s">
        <v>129</v>
      </c>
      <c r="D6" s="141" t="s">
        <v>315</v>
      </c>
      <c r="E6" s="145"/>
      <c r="F6" s="291" t="s">
        <v>308</v>
      </c>
      <c r="G6" s="292"/>
      <c r="H6" s="150" t="s">
        <v>299</v>
      </c>
      <c r="I6" s="291" t="s">
        <v>310</v>
      </c>
      <c r="J6" s="292"/>
      <c r="K6" s="141" t="s">
        <v>311</v>
      </c>
    </row>
    <row r="7" spans="3:11" ht="29.25" customHeight="1">
      <c r="C7" s="152"/>
      <c r="D7" s="141" t="s">
        <v>313</v>
      </c>
      <c r="E7" s="146" t="s">
        <v>298</v>
      </c>
      <c r="F7" s="141" t="s">
        <v>313</v>
      </c>
      <c r="G7" s="141" t="s">
        <v>309</v>
      </c>
      <c r="H7" s="146" t="s">
        <v>299</v>
      </c>
      <c r="I7" s="141" t="s">
        <v>313</v>
      </c>
      <c r="J7" s="141" t="s">
        <v>309</v>
      </c>
      <c r="K7" s="141" t="s">
        <v>309</v>
      </c>
    </row>
    <row r="8" spans="3:11" ht="15">
      <c r="C8" s="49" t="s">
        <v>132</v>
      </c>
      <c r="D8" s="27">
        <f>'8.1. pielikums'!B8</f>
        <v>639.81</v>
      </c>
      <c r="E8" s="147">
        <v>381</v>
      </c>
      <c r="F8" s="27">
        <f>E8</f>
        <v>381</v>
      </c>
      <c r="G8" s="27">
        <f>F8</f>
        <v>381</v>
      </c>
      <c r="H8" s="147">
        <v>501.66999999999996</v>
      </c>
      <c r="I8" s="27">
        <f>H8</f>
        <v>501.66999999999996</v>
      </c>
      <c r="J8" s="27">
        <f>I8</f>
        <v>501.66999999999996</v>
      </c>
      <c r="K8" s="27">
        <v>1068.57</v>
      </c>
    </row>
    <row r="9" spans="3:11" ht="30.75">
      <c r="C9" s="143" t="s">
        <v>340</v>
      </c>
      <c r="D9" s="89">
        <f aca="true" t="shared" si="0" ref="D9:K9">SUM(D11:D15)+D16+SUM(D18:D29)</f>
        <v>153.914</v>
      </c>
      <c r="E9" s="147">
        <f t="shared" si="0"/>
        <v>640.302</v>
      </c>
      <c r="F9" s="89">
        <f t="shared" si="0"/>
        <v>261.644</v>
      </c>
      <c r="G9" s="89">
        <f t="shared" si="0"/>
        <v>640.302</v>
      </c>
      <c r="H9" s="147">
        <f t="shared" si="0"/>
        <v>356.794</v>
      </c>
      <c r="I9" s="89">
        <f t="shared" si="0"/>
        <v>161.89399999999998</v>
      </c>
      <c r="J9" s="89">
        <f t="shared" si="0"/>
        <v>236.70971428571426</v>
      </c>
      <c r="K9" s="89">
        <f t="shared" si="0"/>
        <v>579.39625</v>
      </c>
    </row>
    <row r="10" spans="3:11" s="5" customFormat="1" ht="15" customHeight="1">
      <c r="C10" s="293" t="s">
        <v>312</v>
      </c>
      <c r="D10" s="293"/>
      <c r="E10" s="293"/>
      <c r="F10" s="293"/>
      <c r="G10" s="293"/>
      <c r="H10" s="293"/>
      <c r="I10" s="293"/>
      <c r="J10" s="293"/>
      <c r="K10" s="293"/>
    </row>
    <row r="11" spans="3:11" ht="15">
      <c r="C11" s="130" t="s">
        <v>7</v>
      </c>
      <c r="D11" s="87">
        <f>'8.3.pielikums'!$C$10</f>
        <v>3.13</v>
      </c>
      <c r="E11" s="148">
        <f>'8.3.pielikums'!$C$10</f>
        <v>3.13</v>
      </c>
      <c r="F11" s="87">
        <f aca="true" t="shared" si="1" ref="F11:G15">E11</f>
        <v>3.13</v>
      </c>
      <c r="G11" s="87">
        <f t="shared" si="1"/>
        <v>3.13</v>
      </c>
      <c r="H11" s="148">
        <f>'8.3.pielikums'!$C$10</f>
        <v>3.13</v>
      </c>
      <c r="I11" s="87">
        <f aca="true" t="shared" si="2" ref="I11:J14">H11</f>
        <v>3.13</v>
      </c>
      <c r="J11" s="87">
        <f t="shared" si="2"/>
        <v>3.13</v>
      </c>
      <c r="K11" s="87">
        <f>'8.3.pielikums'!$C$10</f>
        <v>3.13</v>
      </c>
    </row>
    <row r="12" spans="3:13" ht="15">
      <c r="C12" s="3" t="s">
        <v>13</v>
      </c>
      <c r="D12" s="87">
        <f>'8.3.pielikums'!$C$12</f>
        <v>2.35</v>
      </c>
      <c r="E12" s="148">
        <f>'8.3.pielikums'!$C$12</f>
        <v>2.35</v>
      </c>
      <c r="F12" s="87">
        <f t="shared" si="1"/>
        <v>2.35</v>
      </c>
      <c r="G12" s="87">
        <f t="shared" si="1"/>
        <v>2.35</v>
      </c>
      <c r="H12" s="148">
        <f>'8.3.pielikums'!$C$12</f>
        <v>2.35</v>
      </c>
      <c r="I12" s="87">
        <f t="shared" si="2"/>
        <v>2.35</v>
      </c>
      <c r="J12" s="87">
        <f t="shared" si="2"/>
        <v>2.35</v>
      </c>
      <c r="K12" s="87">
        <f>'8.3.pielikums'!$C$12</f>
        <v>2.35</v>
      </c>
      <c r="M12" s="5"/>
    </row>
    <row r="13" spans="3:13" ht="30.75">
      <c r="C13" s="131" t="s">
        <v>25</v>
      </c>
      <c r="D13" s="87">
        <f>'8.3.pielikums'!$C$13</f>
        <v>124.72</v>
      </c>
      <c r="E13" s="148">
        <f>'8.3.pielikums'!$C$13</f>
        <v>124.72</v>
      </c>
      <c r="F13" s="87">
        <f t="shared" si="1"/>
        <v>124.72</v>
      </c>
      <c r="G13" s="87">
        <f t="shared" si="1"/>
        <v>124.72</v>
      </c>
      <c r="H13" s="148">
        <f>'8.3.pielikums'!$C$13</f>
        <v>124.72</v>
      </c>
      <c r="I13" s="87">
        <f t="shared" si="2"/>
        <v>124.72</v>
      </c>
      <c r="J13" s="87">
        <f t="shared" si="2"/>
        <v>124.72</v>
      </c>
      <c r="K13" s="87">
        <f>'8.3.pielikums'!$C$13</f>
        <v>124.72</v>
      </c>
      <c r="M13" s="5"/>
    </row>
    <row r="14" spans="3:13" ht="30.75">
      <c r="C14" s="44" t="s">
        <v>29</v>
      </c>
      <c r="D14" s="87">
        <f>'8.3.pielikums'!$C$15</f>
        <v>22.78</v>
      </c>
      <c r="E14" s="148">
        <f>'8.3.pielikums'!$C$15</f>
        <v>22.78</v>
      </c>
      <c r="F14" s="87">
        <f t="shared" si="1"/>
        <v>22.78</v>
      </c>
      <c r="G14" s="87">
        <f t="shared" si="1"/>
        <v>22.78</v>
      </c>
      <c r="H14" s="148">
        <f>'8.3.pielikums'!$C$15</f>
        <v>22.78</v>
      </c>
      <c r="I14" s="87">
        <f t="shared" si="2"/>
        <v>22.78</v>
      </c>
      <c r="J14" s="87">
        <f t="shared" si="2"/>
        <v>22.78</v>
      </c>
      <c r="K14" s="87">
        <f>'8.3.pielikums'!$C$15</f>
        <v>22.78</v>
      </c>
      <c r="M14" s="5"/>
    </row>
    <row r="15" spans="3:13" ht="15">
      <c r="C15" s="44" t="s">
        <v>38</v>
      </c>
      <c r="D15" s="87">
        <v>0</v>
      </c>
      <c r="E15" s="148">
        <f>'8.3.pielikums'!$C$24</f>
        <v>107.73</v>
      </c>
      <c r="F15" s="87">
        <f t="shared" si="1"/>
        <v>107.73</v>
      </c>
      <c r="G15" s="87">
        <f t="shared" si="1"/>
        <v>107.73</v>
      </c>
      <c r="H15" s="148">
        <f>'8.3.pielikums'!$C$24</f>
        <v>107.73</v>
      </c>
      <c r="I15" s="87">
        <v>7.98</v>
      </c>
      <c r="J15" s="87">
        <f>I15</f>
        <v>7.98</v>
      </c>
      <c r="K15" s="87">
        <v>0</v>
      </c>
      <c r="M15" s="5"/>
    </row>
    <row r="16" spans="3:13" ht="30.75">
      <c r="C16" s="44" t="s">
        <v>8</v>
      </c>
      <c r="D16" s="87">
        <f>'8.3.pielikums'!$C$11</f>
        <v>0.934</v>
      </c>
      <c r="E16" s="148">
        <f>'8.3.pielikums'!$C$11</f>
        <v>0.934</v>
      </c>
      <c r="F16" s="87">
        <f>E16</f>
        <v>0.934</v>
      </c>
      <c r="G16" s="87">
        <f>F16</f>
        <v>0.934</v>
      </c>
      <c r="H16" s="148">
        <f>'8.3.pielikums'!$C$11</f>
        <v>0.934</v>
      </c>
      <c r="I16" s="87">
        <f>H16</f>
        <v>0.934</v>
      </c>
      <c r="J16" s="87">
        <f>I16</f>
        <v>0.934</v>
      </c>
      <c r="K16" s="87">
        <v>0</v>
      </c>
      <c r="M16" s="5"/>
    </row>
    <row r="17" spans="3:13" ht="15" customHeight="1">
      <c r="C17" s="293" t="s">
        <v>314</v>
      </c>
      <c r="D17" s="293"/>
      <c r="E17" s="293"/>
      <c r="F17" s="293"/>
      <c r="G17" s="293"/>
      <c r="H17" s="293"/>
      <c r="I17" s="293"/>
      <c r="J17" s="293"/>
      <c r="K17" s="293"/>
      <c r="M17" s="5"/>
    </row>
    <row r="18" spans="3:13" ht="30.75">
      <c r="C18" s="3" t="s">
        <v>304</v>
      </c>
      <c r="D18" s="144"/>
      <c r="E18" s="149">
        <f>'8.3.pielikums'!$C$14*0.2</f>
        <v>6.466</v>
      </c>
      <c r="F18" s="144"/>
      <c r="G18" s="87">
        <f>E18</f>
        <v>6.466</v>
      </c>
      <c r="H18" s="148">
        <f>'8.3.pielikums'!$C$14</f>
        <v>32.33</v>
      </c>
      <c r="I18" s="144"/>
      <c r="J18" s="87">
        <f>H18</f>
        <v>32.33</v>
      </c>
      <c r="K18" s="87">
        <f>'8.3.pielikums'!$C$14*0.375</f>
        <v>12.12375</v>
      </c>
      <c r="M18" s="5"/>
    </row>
    <row r="19" spans="3:13" ht="30.75">
      <c r="C19" s="3" t="s">
        <v>305</v>
      </c>
      <c r="D19" s="144"/>
      <c r="E19" s="149">
        <f>'8.3.pielikums'!$C$16*0.8</f>
        <v>76.80000000000001</v>
      </c>
      <c r="F19" s="144"/>
      <c r="G19" s="87">
        <f aca="true" t="shared" si="3" ref="G19:G29">E19</f>
        <v>76.80000000000001</v>
      </c>
      <c r="H19" s="148">
        <v>0</v>
      </c>
      <c r="I19" s="144"/>
      <c r="J19" s="87">
        <f aca="true" t="shared" si="4" ref="J19:J29">H19</f>
        <v>0</v>
      </c>
      <c r="K19" s="87">
        <f>'8.3.pielikums'!$C$17*0.625</f>
        <v>120</v>
      </c>
      <c r="M19" s="5"/>
    </row>
    <row r="20" spans="3:13" ht="15">
      <c r="C20" s="3" t="s">
        <v>30</v>
      </c>
      <c r="D20" s="144"/>
      <c r="E20" s="149">
        <f>'8.3.pielikums'!$C$18</f>
        <v>51.76</v>
      </c>
      <c r="F20" s="144"/>
      <c r="G20" s="87">
        <f t="shared" si="3"/>
        <v>51.76</v>
      </c>
      <c r="H20" s="148">
        <v>0</v>
      </c>
      <c r="I20" s="144"/>
      <c r="J20" s="87">
        <f t="shared" si="4"/>
        <v>0</v>
      </c>
      <c r="K20" s="87">
        <v>0</v>
      </c>
      <c r="M20" s="5"/>
    </row>
    <row r="21" spans="3:13" ht="30.75">
      <c r="C21" s="3" t="s">
        <v>316</v>
      </c>
      <c r="D21" s="144"/>
      <c r="E21" s="149">
        <v>0</v>
      </c>
      <c r="F21" s="144"/>
      <c r="G21" s="87">
        <f t="shared" si="3"/>
        <v>0</v>
      </c>
      <c r="H21" s="148">
        <f>'8.3.pielikums'!$C$19</f>
        <v>12.94</v>
      </c>
      <c r="I21" s="144"/>
      <c r="J21" s="87">
        <f>H21/28*16</f>
        <v>7.394285714285714</v>
      </c>
      <c r="K21" s="87">
        <v>0</v>
      </c>
      <c r="M21" s="5"/>
    </row>
    <row r="22" spans="3:13" ht="30.75">
      <c r="C22" s="3" t="s">
        <v>317</v>
      </c>
      <c r="D22" s="144"/>
      <c r="E22" s="149">
        <v>0</v>
      </c>
      <c r="F22" s="144"/>
      <c r="G22" s="87">
        <f t="shared" si="3"/>
        <v>0</v>
      </c>
      <c r="H22" s="148">
        <f>'8.3.pielikums'!$C$20</f>
        <v>25.88</v>
      </c>
      <c r="I22" s="144"/>
      <c r="J22" s="87">
        <f>H22/28*12</f>
        <v>11.09142857142857</v>
      </c>
      <c r="K22" s="87">
        <v>0</v>
      </c>
      <c r="M22" s="5"/>
    </row>
    <row r="23" spans="3:13" ht="30.75">
      <c r="C23" s="3" t="s">
        <v>31</v>
      </c>
      <c r="D23" s="144"/>
      <c r="E23" s="149">
        <v>0</v>
      </c>
      <c r="F23" s="144"/>
      <c r="G23" s="87">
        <f t="shared" si="3"/>
        <v>0</v>
      </c>
      <c r="H23" s="148">
        <v>0</v>
      </c>
      <c r="I23" s="144"/>
      <c r="J23" s="87">
        <f t="shared" si="4"/>
        <v>0</v>
      </c>
      <c r="K23" s="87">
        <f>'8.3.pielikums'!$C$21</f>
        <v>32.35</v>
      </c>
      <c r="M23" s="5"/>
    </row>
    <row r="24" spans="3:13" ht="15">
      <c r="C24" s="44" t="s">
        <v>307</v>
      </c>
      <c r="D24" s="144"/>
      <c r="E24" s="149">
        <f>'8.3.pielikums'!$C$22*0.8</f>
        <v>148.864</v>
      </c>
      <c r="F24" s="144"/>
      <c r="G24" s="87">
        <f t="shared" si="3"/>
        <v>148.864</v>
      </c>
      <c r="H24" s="148">
        <v>0</v>
      </c>
      <c r="I24" s="144"/>
      <c r="J24" s="87">
        <f t="shared" si="4"/>
        <v>0</v>
      </c>
      <c r="K24" s="87">
        <f>'8.3.pielikums'!$C$22/64*40</f>
        <v>116.30000000000001</v>
      </c>
      <c r="M24" s="5"/>
    </row>
    <row r="25" spans="3:13" ht="15">
      <c r="C25" s="44" t="s">
        <v>306</v>
      </c>
      <c r="D25" s="144"/>
      <c r="E25" s="149">
        <f>'8.3.pielikums'!$C$23*0.8</f>
        <v>34.768</v>
      </c>
      <c r="F25" s="144"/>
      <c r="G25" s="87">
        <f t="shared" si="3"/>
        <v>34.768</v>
      </c>
      <c r="H25" s="148">
        <v>0</v>
      </c>
      <c r="I25" s="144"/>
      <c r="J25" s="87">
        <f t="shared" si="4"/>
        <v>0</v>
      </c>
      <c r="K25" s="87">
        <f>'8.3.pielikums'!$C$23/64*40</f>
        <v>27.1625</v>
      </c>
      <c r="M25" s="5"/>
    </row>
    <row r="26" spans="3:13" ht="15">
      <c r="C26" s="134" t="s">
        <v>43</v>
      </c>
      <c r="D26" s="144"/>
      <c r="E26" s="149">
        <f>'8.3.pielikums'!$C$25</f>
        <v>60</v>
      </c>
      <c r="F26" s="144"/>
      <c r="G26" s="87">
        <f t="shared" si="3"/>
        <v>60</v>
      </c>
      <c r="H26" s="148">
        <v>0</v>
      </c>
      <c r="I26" s="144"/>
      <c r="J26" s="87">
        <f t="shared" si="4"/>
        <v>0</v>
      </c>
      <c r="K26" s="87">
        <v>0</v>
      </c>
      <c r="M26" s="5"/>
    </row>
    <row r="27" spans="3:13" ht="15">
      <c r="C27" s="134" t="s">
        <v>44</v>
      </c>
      <c r="D27" s="144"/>
      <c r="E27" s="149">
        <v>0</v>
      </c>
      <c r="F27" s="144"/>
      <c r="G27" s="87">
        <f t="shared" si="3"/>
        <v>0</v>
      </c>
      <c r="H27" s="148">
        <f>'8.3.pielikums'!$C$26</f>
        <v>24</v>
      </c>
      <c r="I27" s="144"/>
      <c r="J27" s="87">
        <f t="shared" si="4"/>
        <v>24</v>
      </c>
      <c r="K27" s="87">
        <v>0</v>
      </c>
      <c r="M27" s="5"/>
    </row>
    <row r="28" spans="3:13" ht="15">
      <c r="C28" s="134" t="s">
        <v>45</v>
      </c>
      <c r="D28" s="144"/>
      <c r="E28" s="149">
        <v>0</v>
      </c>
      <c r="F28" s="144"/>
      <c r="G28" s="87">
        <f t="shared" si="3"/>
        <v>0</v>
      </c>
      <c r="H28" s="148">
        <v>0</v>
      </c>
      <c r="I28" s="144"/>
      <c r="J28" s="87">
        <f t="shared" si="4"/>
        <v>0</v>
      </c>
      <c r="K28" s="87">
        <f>'8.3.pielikums'!$C$27</f>
        <v>48</v>
      </c>
      <c r="M28" s="5"/>
    </row>
    <row r="29" spans="3:13" ht="15">
      <c r="C29" s="44" t="s">
        <v>35</v>
      </c>
      <c r="D29" s="144"/>
      <c r="E29" s="149">
        <v>0</v>
      </c>
      <c r="F29" s="144"/>
      <c r="G29" s="87">
        <f t="shared" si="3"/>
        <v>0</v>
      </c>
      <c r="H29" s="148">
        <v>0</v>
      </c>
      <c r="I29" s="144"/>
      <c r="J29" s="87">
        <f t="shared" si="4"/>
        <v>0</v>
      </c>
      <c r="K29" s="87">
        <f>'8.3.pielikums'!$C$28</f>
        <v>70.48</v>
      </c>
      <c r="M29" s="5"/>
    </row>
    <row r="30" spans="3:11" ht="15">
      <c r="C30" s="91" t="s">
        <v>319</v>
      </c>
      <c r="D30" s="89">
        <f>(D8+D9)*0.1</f>
        <v>79.3724</v>
      </c>
      <c r="E30" s="89"/>
      <c r="F30" s="89">
        <f>(F8+F9)*0.1</f>
        <v>64.26440000000001</v>
      </c>
      <c r="G30" s="89">
        <f>(G8+G9)*0.1</f>
        <v>102.1302</v>
      </c>
      <c r="H30" s="89"/>
      <c r="I30" s="89">
        <f>(I8+I9)*0.1</f>
        <v>66.3564</v>
      </c>
      <c r="J30" s="89">
        <f>'8.1. pielikums'!H18</f>
        <v>0</v>
      </c>
      <c r="K30" s="89">
        <f>(K8+K9)*0.1</f>
        <v>164.796625</v>
      </c>
    </row>
    <row r="31" spans="3:11" ht="15">
      <c r="C31" s="92" t="s">
        <v>320</v>
      </c>
      <c r="D31" s="89">
        <f>D30+D9+D8</f>
        <v>873.0963999999999</v>
      </c>
      <c r="E31" s="89"/>
      <c r="F31" s="89">
        <f>F30+F9+F8</f>
        <v>706.9084</v>
      </c>
      <c r="G31" s="89">
        <f>G30+G9+G8</f>
        <v>1123.4322</v>
      </c>
      <c r="H31" s="89"/>
      <c r="I31" s="89">
        <f>I30+I9+I8</f>
        <v>729.9204</v>
      </c>
      <c r="J31" s="89">
        <f>J30+J9+J8</f>
        <v>738.3797142857143</v>
      </c>
      <c r="K31" s="89">
        <f>K30+K9+K8</f>
        <v>1812.762875</v>
      </c>
    </row>
    <row r="33" spans="3:12" s="155" customFormat="1" ht="19.5" customHeight="1">
      <c r="C33" s="290" t="s">
        <v>381</v>
      </c>
      <c r="D33" s="290"/>
      <c r="E33" s="290"/>
      <c r="F33" s="290"/>
      <c r="G33" s="290"/>
      <c r="H33" s="290"/>
      <c r="I33" s="290"/>
      <c r="J33" s="290"/>
      <c r="K33" s="290"/>
      <c r="L33" s="290"/>
    </row>
    <row r="34" spans="3:12" s="155" customFormat="1" ht="19.5" customHeight="1">
      <c r="C34" s="290"/>
      <c r="D34" s="290"/>
      <c r="E34" s="290"/>
      <c r="F34" s="290"/>
      <c r="G34" s="290"/>
      <c r="H34" s="290"/>
      <c r="I34" s="290"/>
      <c r="J34" s="290"/>
      <c r="K34" s="290"/>
      <c r="L34" s="290"/>
    </row>
    <row r="35" spans="3:12" s="155" customFormat="1" ht="19.5" customHeight="1">
      <c r="C35" s="290"/>
      <c r="D35" s="290"/>
      <c r="E35" s="290"/>
      <c r="F35" s="290"/>
      <c r="G35" s="290"/>
      <c r="H35" s="290"/>
      <c r="I35" s="290"/>
      <c r="J35" s="290"/>
      <c r="K35" s="290"/>
      <c r="L35" s="290"/>
    </row>
    <row r="36" spans="3:12" s="155" customFormat="1" ht="19.5" customHeight="1">
      <c r="C36" s="290"/>
      <c r="D36" s="290"/>
      <c r="E36" s="290"/>
      <c r="F36" s="290"/>
      <c r="G36" s="290"/>
      <c r="H36" s="290"/>
      <c r="I36" s="290"/>
      <c r="J36" s="290"/>
      <c r="K36" s="290"/>
      <c r="L36" s="290"/>
    </row>
    <row r="37" spans="3:12" s="155" customFormat="1" ht="121.5" customHeight="1">
      <c r="C37" s="290"/>
      <c r="D37" s="290"/>
      <c r="E37" s="290"/>
      <c r="F37" s="290"/>
      <c r="G37" s="290"/>
      <c r="H37" s="290"/>
      <c r="I37" s="290"/>
      <c r="J37" s="290"/>
      <c r="K37" s="290"/>
      <c r="L37" s="290"/>
    </row>
    <row r="38" spans="3:12" s="155" customFormat="1" ht="160.5" customHeight="1">
      <c r="C38" s="290" t="s">
        <v>382</v>
      </c>
      <c r="D38" s="290"/>
      <c r="E38" s="290"/>
      <c r="F38" s="290"/>
      <c r="G38" s="290"/>
      <c r="H38" s="290"/>
      <c r="I38" s="290"/>
      <c r="J38" s="290"/>
      <c r="K38" s="290"/>
      <c r="L38" s="290"/>
    </row>
    <row r="39" spans="3:12" s="155" customFormat="1" ht="38.25" customHeight="1">
      <c r="C39" s="290" t="s">
        <v>318</v>
      </c>
      <c r="D39" s="290"/>
      <c r="E39" s="290"/>
      <c r="F39" s="290"/>
      <c r="G39" s="290"/>
      <c r="H39" s="290"/>
      <c r="I39" s="290"/>
      <c r="J39" s="290"/>
      <c r="K39" s="290"/>
      <c r="L39" s="290"/>
    </row>
    <row r="40" spans="3:12" s="155" customFormat="1" ht="33" customHeight="1">
      <c r="C40" s="290" t="s">
        <v>321</v>
      </c>
      <c r="D40" s="290"/>
      <c r="E40" s="290"/>
      <c r="F40" s="290"/>
      <c r="G40" s="290"/>
      <c r="H40" s="290"/>
      <c r="I40" s="290"/>
      <c r="J40" s="290"/>
      <c r="K40" s="290"/>
      <c r="L40" s="290"/>
    </row>
  </sheetData>
  <sheetProtection/>
  <mergeCells count="10">
    <mergeCell ref="C33:L37"/>
    <mergeCell ref="C38:L38"/>
    <mergeCell ref="C40:L40"/>
    <mergeCell ref="J1:K1"/>
    <mergeCell ref="C3:K3"/>
    <mergeCell ref="F6:G6"/>
    <mergeCell ref="I6:J6"/>
    <mergeCell ref="C10:K10"/>
    <mergeCell ref="C17:K17"/>
    <mergeCell ref="C39:L39"/>
  </mergeCells>
  <printOptions/>
  <pageMargins left="0.25" right="0.25" top="0.75" bottom="0.75" header="0.3" footer="0.3"/>
  <pageSetup fitToHeight="0" fitToWidth="1" horizontalDpi="600" verticalDpi="600" orientation="portrait" paperSize="9" scale="62" r:id="rId1"/>
</worksheet>
</file>

<file path=xl/worksheets/sheet12.xml><?xml version="1.0" encoding="utf-8"?>
<worksheet xmlns="http://schemas.openxmlformats.org/spreadsheetml/2006/main" xmlns:r="http://schemas.openxmlformats.org/officeDocument/2006/relationships">
  <dimension ref="B1:L19"/>
  <sheetViews>
    <sheetView showGridLines="0" zoomScalePageLayoutView="0" workbookViewId="0" topLeftCell="A1">
      <selection activeCell="I11" sqref="I11"/>
    </sheetView>
  </sheetViews>
  <sheetFormatPr defaultColWidth="9.140625" defaultRowHeight="15"/>
  <cols>
    <col min="2" max="2" width="34.421875" style="0" customWidth="1"/>
    <col min="3" max="3" width="12.28125" style="5" customWidth="1"/>
    <col min="4" max="4" width="15.7109375" style="0" customWidth="1"/>
    <col min="5" max="5" width="18.7109375" style="0" customWidth="1"/>
    <col min="6" max="6" width="22.421875" style="0" customWidth="1"/>
  </cols>
  <sheetData>
    <row r="1" spans="4:6" s="5" customFormat="1" ht="14.25">
      <c r="D1" s="299"/>
      <c r="E1" s="299"/>
      <c r="F1" s="299"/>
    </row>
    <row r="2" s="5" customFormat="1" ht="15">
      <c r="F2" s="102" t="s">
        <v>272</v>
      </c>
    </row>
    <row r="3" spans="2:7" s="5" customFormat="1" ht="26.25" customHeight="1">
      <c r="B3" s="223" t="s">
        <v>256</v>
      </c>
      <c r="C3" s="223"/>
      <c r="D3" s="223"/>
      <c r="E3" s="223"/>
      <c r="F3" s="223"/>
      <c r="G3" s="43"/>
    </row>
    <row r="4" spans="2:6" ht="45.75" customHeight="1">
      <c r="B4" s="159" t="s">
        <v>257</v>
      </c>
      <c r="C4" s="159" t="s">
        <v>153</v>
      </c>
      <c r="D4" s="160" t="s">
        <v>357</v>
      </c>
      <c r="E4" s="161" t="s">
        <v>12</v>
      </c>
      <c r="F4" s="159" t="s">
        <v>353</v>
      </c>
    </row>
    <row r="5" spans="2:6" ht="14.25" customHeight="1">
      <c r="B5" s="305" t="s">
        <v>358</v>
      </c>
      <c r="C5" s="306"/>
      <c r="D5" s="306"/>
      <c r="E5" s="306"/>
      <c r="F5" s="307"/>
    </row>
    <row r="6" spans="2:12" s="5" customFormat="1" ht="29.25" customHeight="1">
      <c r="B6" s="12" t="s">
        <v>331</v>
      </c>
      <c r="C6" s="227" t="s">
        <v>354</v>
      </c>
      <c r="D6" s="139">
        <f>'8.10. pielikums'!D31</f>
        <v>873.0963999999999</v>
      </c>
      <c r="E6" s="118">
        <v>3</v>
      </c>
      <c r="F6" s="138">
        <f aca="true" t="shared" si="0" ref="F6:F11">D6*E6</f>
        <v>2619.2891999999997</v>
      </c>
      <c r="L6" s="78"/>
    </row>
    <row r="7" spans="2:12" ht="15">
      <c r="B7" s="112" t="s">
        <v>326</v>
      </c>
      <c r="C7" s="228"/>
      <c r="D7" s="140">
        <f>'8.10. pielikums'!G31</f>
        <v>1123.4322</v>
      </c>
      <c r="E7" s="117">
        <v>30</v>
      </c>
      <c r="F7" s="138">
        <f t="shared" si="0"/>
        <v>33702.966</v>
      </c>
      <c r="K7" s="5"/>
      <c r="L7" s="120"/>
    </row>
    <row r="8" spans="2:12" s="5" customFormat="1" ht="15">
      <c r="B8" s="112" t="s">
        <v>327</v>
      </c>
      <c r="C8" s="228"/>
      <c r="D8" s="140">
        <f>'8.10. pielikums'!F31</f>
        <v>706.9084</v>
      </c>
      <c r="E8" s="117">
        <v>50</v>
      </c>
      <c r="F8" s="138">
        <f t="shared" si="0"/>
        <v>35345.42</v>
      </c>
      <c r="L8" s="120"/>
    </row>
    <row r="9" spans="2:12" s="5" customFormat="1" ht="15">
      <c r="B9" s="112" t="s">
        <v>328</v>
      </c>
      <c r="C9" s="228"/>
      <c r="D9" s="140">
        <f>'8.10. pielikums'!J31</f>
        <v>738.3797142857143</v>
      </c>
      <c r="E9" s="122">
        <v>28</v>
      </c>
      <c r="F9" s="138">
        <f t="shared" si="0"/>
        <v>20674.631999999998</v>
      </c>
      <c r="L9" s="78"/>
    </row>
    <row r="10" spans="2:12" s="5" customFormat="1" ht="15">
      <c r="B10" s="112" t="s">
        <v>329</v>
      </c>
      <c r="C10" s="228"/>
      <c r="D10" s="140">
        <f>'8.10. pielikums'!I31</f>
        <v>729.9204</v>
      </c>
      <c r="E10" s="122">
        <v>80</v>
      </c>
      <c r="F10" s="138">
        <f t="shared" si="0"/>
        <v>58393.632</v>
      </c>
      <c r="L10" s="78"/>
    </row>
    <row r="11" spans="2:11" ht="15">
      <c r="B11" s="111" t="s">
        <v>330</v>
      </c>
      <c r="C11" s="229"/>
      <c r="D11" s="140">
        <f>'8.10. pielikums'!K31</f>
        <v>1812.762875</v>
      </c>
      <c r="E11" s="122">
        <v>64</v>
      </c>
      <c r="F11" s="138">
        <f t="shared" si="0"/>
        <v>116016.824</v>
      </c>
      <c r="K11" s="5"/>
    </row>
    <row r="12" spans="2:11" ht="15.75" customHeight="1">
      <c r="B12" s="302" t="s">
        <v>355</v>
      </c>
      <c r="C12" s="303"/>
      <c r="D12" s="303"/>
      <c r="E12" s="303"/>
      <c r="F12" s="304"/>
      <c r="K12" s="5"/>
    </row>
    <row r="13" spans="2:11" ht="30.75">
      <c r="B13" s="111" t="s">
        <v>258</v>
      </c>
      <c r="C13" s="297" t="s">
        <v>356</v>
      </c>
      <c r="D13" s="140">
        <f>'8.7.pielikums'!C15</f>
        <v>976.912</v>
      </c>
      <c r="E13" s="110">
        <v>20</v>
      </c>
      <c r="F13" s="140">
        <f>D13*E13</f>
        <v>19538.24</v>
      </c>
      <c r="I13" s="78"/>
      <c r="K13" s="5"/>
    </row>
    <row r="14" spans="2:11" ht="30.75">
      <c r="B14" s="111" t="s">
        <v>259</v>
      </c>
      <c r="C14" s="298"/>
      <c r="D14" s="139">
        <f>'8.8.pielikums'!C12</f>
        <v>355.893</v>
      </c>
      <c r="E14" s="110">
        <v>13</v>
      </c>
      <c r="F14" s="139">
        <f>D14*E14</f>
        <v>4626.6089999999995</v>
      </c>
      <c r="I14" s="78"/>
      <c r="K14" s="5"/>
    </row>
    <row r="15" spans="2:11" ht="30.75" customHeight="1">
      <c r="B15" s="300" t="s">
        <v>254</v>
      </c>
      <c r="C15" s="300"/>
      <c r="D15" s="300"/>
      <c r="E15" s="300"/>
      <c r="F15" s="138">
        <f>SUM(F6:F11)+F13+F14</f>
        <v>290917.6122</v>
      </c>
      <c r="K15" s="5"/>
    </row>
    <row r="16" spans="2:11" ht="30.75" customHeight="1">
      <c r="B16" s="300" t="s">
        <v>255</v>
      </c>
      <c r="C16" s="300"/>
      <c r="D16" s="300"/>
      <c r="E16" s="300"/>
      <c r="F16" s="138">
        <v>293803</v>
      </c>
      <c r="K16" s="5"/>
    </row>
    <row r="17" spans="2:11" ht="15">
      <c r="B17" s="301" t="s">
        <v>253</v>
      </c>
      <c r="C17" s="301"/>
      <c r="D17" s="301"/>
      <c r="E17" s="301"/>
      <c r="F17" s="137">
        <f>F16-F15</f>
        <v>2885.387800000026</v>
      </c>
      <c r="K17" s="5"/>
    </row>
    <row r="18" spans="2:11" ht="14.25">
      <c r="B18" s="294" t="s">
        <v>265</v>
      </c>
      <c r="C18" s="295"/>
      <c r="D18" s="295"/>
      <c r="E18" s="296"/>
      <c r="F18" s="123">
        <f>F17/F16</f>
        <v>0.009820824838412222</v>
      </c>
      <c r="K18" s="5"/>
    </row>
    <row r="19" ht="14.25">
      <c r="K19" s="5"/>
    </row>
  </sheetData>
  <sheetProtection/>
  <mergeCells count="10">
    <mergeCell ref="B18:E18"/>
    <mergeCell ref="C6:C11"/>
    <mergeCell ref="C13:C14"/>
    <mergeCell ref="D1:F1"/>
    <mergeCell ref="B15:E15"/>
    <mergeCell ref="B16:E16"/>
    <mergeCell ref="B17:E17"/>
    <mergeCell ref="B3:F3"/>
    <mergeCell ref="B12:F12"/>
    <mergeCell ref="B5:F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Q31"/>
  <sheetViews>
    <sheetView showGridLines="0" zoomScale="72" zoomScaleNormal="72" zoomScalePageLayoutView="0" workbookViewId="0" topLeftCell="A4">
      <selection activeCell="A25" sqref="A25:L25"/>
    </sheetView>
  </sheetViews>
  <sheetFormatPr defaultColWidth="9.140625" defaultRowHeight="15"/>
  <cols>
    <col min="1" max="1" width="33.57421875" style="0" customWidth="1"/>
    <col min="2" max="2" width="14.421875" style="0" customWidth="1"/>
    <col min="3" max="3" width="11.57421875" style="0" customWidth="1"/>
    <col min="4" max="4" width="11.00390625" style="0" customWidth="1"/>
    <col min="5" max="5" width="14.28125" style="0" customWidth="1"/>
    <col min="6" max="6" width="11.7109375" style="0" customWidth="1"/>
    <col min="7" max="7" width="11.28125" style="0" customWidth="1"/>
    <col min="8" max="8" width="14.421875" style="0" customWidth="1"/>
    <col min="9" max="9" width="9.7109375" style="0" customWidth="1"/>
    <col min="10" max="10" width="13.28125" style="0" customWidth="1"/>
    <col min="11" max="11" width="13.421875" style="0" customWidth="1"/>
    <col min="12" max="12" width="10.57421875" style="0" customWidth="1"/>
    <col min="13" max="13" width="11.421875" style="0" customWidth="1"/>
    <col min="14" max="14" width="15.421875" style="0" hidden="1" customWidth="1"/>
    <col min="16" max="16" width="10.421875" style="0" bestFit="1" customWidth="1"/>
  </cols>
  <sheetData>
    <row r="1" ht="18.75" customHeight="1"/>
    <row r="2" spans="12:13" ht="15">
      <c r="L2" s="189" t="s">
        <v>281</v>
      </c>
      <c r="M2" s="189"/>
    </row>
    <row r="3" spans="1:11" ht="31.5" customHeight="1">
      <c r="A3" s="190" t="s">
        <v>146</v>
      </c>
      <c r="B3" s="190"/>
      <c r="C3" s="190"/>
      <c r="D3" s="190"/>
      <c r="E3" s="190"/>
      <c r="F3" s="190"/>
      <c r="G3" s="190"/>
      <c r="H3" s="190"/>
      <c r="I3" s="190"/>
      <c r="J3" s="190"/>
      <c r="K3" s="190"/>
    </row>
    <row r="5" spans="1:14" s="5" customFormat="1" ht="14.25" customHeight="1">
      <c r="A5" s="184" t="s">
        <v>129</v>
      </c>
      <c r="B5" s="183" t="s">
        <v>57</v>
      </c>
      <c r="C5" s="183"/>
      <c r="D5" s="183"/>
      <c r="E5" s="183"/>
      <c r="F5" s="183"/>
      <c r="G5" s="183"/>
      <c r="H5" s="183"/>
      <c r="I5" s="183"/>
      <c r="J5" s="183"/>
      <c r="K5" s="183"/>
      <c r="L5" s="183"/>
      <c r="M5" s="183"/>
      <c r="N5" s="186" t="s">
        <v>141</v>
      </c>
    </row>
    <row r="6" spans="1:14" s="5" customFormat="1" ht="21" customHeight="1">
      <c r="A6" s="184"/>
      <c r="B6" s="183" t="s">
        <v>56</v>
      </c>
      <c r="C6" s="183"/>
      <c r="D6" s="183"/>
      <c r="E6" s="183" t="s">
        <v>131</v>
      </c>
      <c r="F6" s="183"/>
      <c r="G6" s="183"/>
      <c r="H6" s="183" t="s">
        <v>49</v>
      </c>
      <c r="I6" s="183"/>
      <c r="J6" s="183"/>
      <c r="K6" s="183" t="s">
        <v>37</v>
      </c>
      <c r="L6" s="183"/>
      <c r="M6" s="183"/>
      <c r="N6" s="187"/>
    </row>
    <row r="7" spans="1:14" ht="62.25">
      <c r="A7" s="184"/>
      <c r="B7" s="121" t="s">
        <v>142</v>
      </c>
      <c r="C7" s="121" t="s">
        <v>12</v>
      </c>
      <c r="D7" s="121" t="s">
        <v>130</v>
      </c>
      <c r="E7" s="121" t="s">
        <v>143</v>
      </c>
      <c r="F7" s="121" t="s">
        <v>12</v>
      </c>
      <c r="G7" s="121" t="s">
        <v>130</v>
      </c>
      <c r="H7" s="121" t="s">
        <v>143</v>
      </c>
      <c r="I7" s="121" t="s">
        <v>12</v>
      </c>
      <c r="J7" s="121" t="s">
        <v>130</v>
      </c>
      <c r="K7" s="121" t="s">
        <v>144</v>
      </c>
      <c r="L7" s="121" t="s">
        <v>12</v>
      </c>
      <c r="M7" s="121" t="s">
        <v>130</v>
      </c>
      <c r="N7" s="188"/>
    </row>
    <row r="8" spans="1:16" ht="15">
      <c r="A8" s="49" t="s">
        <v>132</v>
      </c>
      <c r="B8" s="27">
        <f>SUM(B9:B14)</f>
        <v>639.81</v>
      </c>
      <c r="C8" s="27" t="s">
        <v>55</v>
      </c>
      <c r="D8" s="27">
        <f>SUM(D9:D14)</f>
        <v>1919.43</v>
      </c>
      <c r="E8" s="27">
        <f>SUM(E9:E14)</f>
        <v>381</v>
      </c>
      <c r="F8" s="27" t="s">
        <v>55</v>
      </c>
      <c r="G8" s="27">
        <f>SUM(G9:G14)</f>
        <v>30480</v>
      </c>
      <c r="H8" s="27">
        <f>SUM(H9:H14)</f>
        <v>501.66999999999996</v>
      </c>
      <c r="I8" s="27" t="s">
        <v>55</v>
      </c>
      <c r="J8" s="27">
        <f>SUM(J9:J14)</f>
        <v>54180.36</v>
      </c>
      <c r="K8" s="27">
        <f>SUM(K9:K14)</f>
        <v>1068.57</v>
      </c>
      <c r="L8" s="18" t="s">
        <v>55</v>
      </c>
      <c r="M8" s="27">
        <f>SUM(M9:M14)</f>
        <v>68388.48000000001</v>
      </c>
      <c r="N8" s="79">
        <f>D8+G8+J8+M8</f>
        <v>154968.27000000002</v>
      </c>
      <c r="P8" s="78"/>
    </row>
    <row r="9" spans="1:15" ht="15">
      <c r="A9" s="12" t="s">
        <v>138</v>
      </c>
      <c r="B9" s="52">
        <f>'8.2.pielikums'!H12</f>
        <v>75.99</v>
      </c>
      <c r="C9" s="53">
        <v>3</v>
      </c>
      <c r="D9" s="52">
        <f>ROUND((C9*B9),2)</f>
        <v>227.97</v>
      </c>
      <c r="E9" s="52">
        <f>'8.2.pielikums'!H13</f>
        <v>88.33</v>
      </c>
      <c r="F9" s="53">
        <v>80</v>
      </c>
      <c r="G9" s="52">
        <f>ROUND((F9*E9),2)</f>
        <v>7066.4</v>
      </c>
      <c r="H9" s="52">
        <f>'8.2.pielikums'!H14</f>
        <v>88.65</v>
      </c>
      <c r="I9" s="53">
        <v>108</v>
      </c>
      <c r="J9" s="52">
        <f>ROUND((I9*H9),2)</f>
        <v>9574.2</v>
      </c>
      <c r="K9" s="52">
        <f>'8.2.pielikums'!H15</f>
        <v>89.04</v>
      </c>
      <c r="L9" s="53">
        <v>64</v>
      </c>
      <c r="M9" s="52">
        <f aca="true" t="shared" si="0" ref="M9:M14">ROUND((L9*K9),2)</f>
        <v>5698.56</v>
      </c>
      <c r="N9" s="80">
        <f aca="true" t="shared" si="1" ref="N9:N18">D9+G9+J9+M9</f>
        <v>22567.13</v>
      </c>
      <c r="O9" s="78"/>
    </row>
    <row r="10" spans="1:14" ht="15">
      <c r="A10" s="12" t="s">
        <v>139</v>
      </c>
      <c r="B10" s="52">
        <f>'8.2.pielikums'!J12</f>
        <v>63.82</v>
      </c>
      <c r="C10" s="53">
        <v>3</v>
      </c>
      <c r="D10" s="52">
        <f aca="true" t="shared" si="2" ref="D10:D17">ROUND((C10*B10),2)</f>
        <v>191.46</v>
      </c>
      <c r="E10" s="52">
        <f>'8.2.pielikums'!J13</f>
        <v>74.19</v>
      </c>
      <c r="F10" s="53">
        <v>80</v>
      </c>
      <c r="G10" s="52">
        <f aca="true" t="shared" si="3" ref="G10:G17">ROUND((F10*E10),2)</f>
        <v>5935.2</v>
      </c>
      <c r="H10" s="52">
        <f>'8.2.pielikums'!J14</f>
        <v>74.46</v>
      </c>
      <c r="I10" s="53">
        <v>108</v>
      </c>
      <c r="J10" s="52">
        <f aca="true" t="shared" si="4" ref="J10:J17">ROUND((I10*H10),2)</f>
        <v>8041.68</v>
      </c>
      <c r="K10" s="52">
        <f>'8.2.pielikums'!J15</f>
        <v>74.79</v>
      </c>
      <c r="L10" s="53">
        <v>64</v>
      </c>
      <c r="M10" s="52">
        <f t="shared" si="0"/>
        <v>4786.56</v>
      </c>
      <c r="N10" s="80">
        <f t="shared" si="1"/>
        <v>18954.9</v>
      </c>
    </row>
    <row r="11" spans="1:14" ht="15">
      <c r="A11" s="12" t="s">
        <v>140</v>
      </c>
      <c r="B11" s="52">
        <f>'8.2.pielikums'!L12</f>
        <v>0</v>
      </c>
      <c r="C11" s="53">
        <v>3</v>
      </c>
      <c r="D11" s="52">
        <f t="shared" si="2"/>
        <v>0</v>
      </c>
      <c r="E11" s="52">
        <f>'8.2.pielikums'!L13</f>
        <v>91.18</v>
      </c>
      <c r="F11" s="53">
        <v>80</v>
      </c>
      <c r="G11" s="52">
        <f t="shared" si="3"/>
        <v>7294.4</v>
      </c>
      <c r="H11" s="52">
        <f>'8.2.pielikums'!L14</f>
        <v>90.76</v>
      </c>
      <c r="I11" s="53">
        <v>108</v>
      </c>
      <c r="J11" s="52">
        <f t="shared" si="4"/>
        <v>9802.08</v>
      </c>
      <c r="K11" s="52">
        <f>'8.2.pielikums'!L15</f>
        <v>89.04</v>
      </c>
      <c r="L11" s="53">
        <v>64</v>
      </c>
      <c r="M11" s="52">
        <f t="shared" si="0"/>
        <v>5698.56</v>
      </c>
      <c r="N11" s="80">
        <f t="shared" si="1"/>
        <v>22795.04</v>
      </c>
    </row>
    <row r="12" spans="1:14" ht="15">
      <c r="A12" s="67" t="s">
        <v>149</v>
      </c>
      <c r="B12" s="87">
        <v>500</v>
      </c>
      <c r="C12" s="88">
        <v>3</v>
      </c>
      <c r="D12" s="87">
        <f t="shared" si="2"/>
        <v>1500</v>
      </c>
      <c r="E12" s="87">
        <v>0</v>
      </c>
      <c r="F12" s="88">
        <v>0</v>
      </c>
      <c r="G12" s="87">
        <f t="shared" si="3"/>
        <v>0</v>
      </c>
      <c r="H12" s="87">
        <v>0</v>
      </c>
      <c r="I12" s="88">
        <v>0</v>
      </c>
      <c r="J12" s="87">
        <f t="shared" si="4"/>
        <v>0</v>
      </c>
      <c r="K12" s="87">
        <v>0</v>
      </c>
      <c r="L12" s="88">
        <v>64</v>
      </c>
      <c r="M12" s="87">
        <f t="shared" si="0"/>
        <v>0</v>
      </c>
      <c r="N12" s="80">
        <f t="shared" si="1"/>
        <v>1500</v>
      </c>
    </row>
    <row r="13" spans="1:14" s="5" customFormat="1" ht="15">
      <c r="A13" s="67" t="s">
        <v>148</v>
      </c>
      <c r="B13" s="87">
        <v>0</v>
      </c>
      <c r="C13" s="88">
        <v>0</v>
      </c>
      <c r="D13" s="87">
        <f t="shared" si="2"/>
        <v>0</v>
      </c>
      <c r="E13" s="87"/>
      <c r="F13" s="88">
        <v>0</v>
      </c>
      <c r="G13" s="87">
        <f t="shared" si="3"/>
        <v>0</v>
      </c>
      <c r="H13" s="87">
        <f>271.9*90/108</f>
        <v>226.5833333333333</v>
      </c>
      <c r="I13" s="88">
        <v>108</v>
      </c>
      <c r="J13" s="87">
        <f t="shared" si="4"/>
        <v>24471</v>
      </c>
      <c r="K13" s="87">
        <f>271.9*3</f>
        <v>815.6999999999999</v>
      </c>
      <c r="L13" s="88">
        <v>64</v>
      </c>
      <c r="M13" s="87">
        <f t="shared" si="0"/>
        <v>52204.8</v>
      </c>
      <c r="N13" s="80">
        <f t="shared" si="1"/>
        <v>76675.8</v>
      </c>
    </row>
    <row r="14" spans="1:14" ht="15">
      <c r="A14" s="67" t="s">
        <v>150</v>
      </c>
      <c r="B14" s="87">
        <v>0</v>
      </c>
      <c r="C14" s="88">
        <v>0</v>
      </c>
      <c r="D14" s="87">
        <f t="shared" si="2"/>
        <v>0</v>
      </c>
      <c r="E14" s="87">
        <v>127.3</v>
      </c>
      <c r="F14" s="88">
        <v>80</v>
      </c>
      <c r="G14" s="87">
        <f t="shared" si="3"/>
        <v>10184</v>
      </c>
      <c r="H14" s="87">
        <f>127.3*18/108</f>
        <v>21.21666666666667</v>
      </c>
      <c r="I14" s="88">
        <v>108</v>
      </c>
      <c r="J14" s="87">
        <f t="shared" si="4"/>
        <v>2291.4</v>
      </c>
      <c r="K14" s="87">
        <v>0</v>
      </c>
      <c r="L14" s="88">
        <v>0</v>
      </c>
      <c r="M14" s="87">
        <f t="shared" si="0"/>
        <v>0</v>
      </c>
      <c r="N14" s="80">
        <f t="shared" si="1"/>
        <v>12475.4</v>
      </c>
    </row>
    <row r="15" spans="1:15" ht="15.75" customHeight="1">
      <c r="A15" s="180" t="s">
        <v>339</v>
      </c>
      <c r="B15" s="181"/>
      <c r="C15" s="181"/>
      <c r="D15" s="181"/>
      <c r="E15" s="181"/>
      <c r="F15" s="181"/>
      <c r="G15" s="181"/>
      <c r="H15" s="181"/>
      <c r="I15" s="181"/>
      <c r="J15" s="181"/>
      <c r="K15" s="181"/>
      <c r="L15" s="181"/>
      <c r="M15" s="182"/>
      <c r="N15" s="79">
        <f>D15+G15+J15+M15</f>
        <v>0</v>
      </c>
      <c r="O15" s="78"/>
    </row>
    <row r="16" spans="1:15" s="5" customFormat="1" ht="15">
      <c r="A16" s="12" t="s">
        <v>332</v>
      </c>
      <c r="B16" s="156"/>
      <c r="C16" s="156"/>
      <c r="D16" s="156"/>
      <c r="E16" s="89">
        <f>'8.10. pielikums'!G9</f>
        <v>640.302</v>
      </c>
      <c r="F16" s="90">
        <v>30</v>
      </c>
      <c r="G16" s="89">
        <f t="shared" si="3"/>
        <v>19209.06</v>
      </c>
      <c r="H16" s="89">
        <f>'8.10. pielikums'!J9</f>
        <v>236.70971428571426</v>
      </c>
      <c r="I16" s="90">
        <v>28</v>
      </c>
      <c r="J16" s="89">
        <f t="shared" si="4"/>
        <v>6627.87</v>
      </c>
      <c r="K16" s="156"/>
      <c r="L16" s="156"/>
      <c r="M16" s="156"/>
      <c r="N16" s="79"/>
      <c r="O16" s="78"/>
    </row>
    <row r="17" spans="1:16" s="5" customFormat="1" ht="15">
      <c r="A17" s="12" t="s">
        <v>333</v>
      </c>
      <c r="B17" s="89">
        <f>'8.10. pielikums'!D9</f>
        <v>153.914</v>
      </c>
      <c r="C17" s="90">
        <v>3</v>
      </c>
      <c r="D17" s="89">
        <f t="shared" si="2"/>
        <v>461.74</v>
      </c>
      <c r="E17" s="89">
        <f>'8.10. pielikums'!F9</f>
        <v>261.644</v>
      </c>
      <c r="F17" s="90">
        <v>50</v>
      </c>
      <c r="G17" s="89">
        <f t="shared" si="3"/>
        <v>13082.2</v>
      </c>
      <c r="H17" s="89">
        <f>'8.10. pielikums'!I9</f>
        <v>161.89399999999998</v>
      </c>
      <c r="I17" s="90">
        <v>80</v>
      </c>
      <c r="J17" s="89">
        <f t="shared" si="4"/>
        <v>12951.52</v>
      </c>
      <c r="K17" s="89">
        <f>'8.10. pielikums'!K9</f>
        <v>579.39625</v>
      </c>
      <c r="L17" s="54">
        <v>64</v>
      </c>
      <c r="M17" s="27">
        <f>ROUND((L17*K17),2)</f>
        <v>37081.36</v>
      </c>
      <c r="N17" s="79"/>
      <c r="O17" s="78"/>
      <c r="P17" s="78"/>
    </row>
    <row r="18" spans="1:16" ht="15">
      <c r="A18" s="180" t="s">
        <v>151</v>
      </c>
      <c r="B18" s="181"/>
      <c r="C18" s="181"/>
      <c r="D18" s="181"/>
      <c r="E18" s="181"/>
      <c r="F18" s="181"/>
      <c r="G18" s="181"/>
      <c r="H18" s="181"/>
      <c r="I18" s="181"/>
      <c r="J18" s="181"/>
      <c r="K18" s="181"/>
      <c r="L18" s="181"/>
      <c r="M18" s="182"/>
      <c r="N18" s="79">
        <f t="shared" si="1"/>
        <v>0</v>
      </c>
      <c r="P18" s="5"/>
    </row>
    <row r="19" spans="1:14" s="5" customFormat="1" ht="15">
      <c r="A19" s="12" t="s">
        <v>332</v>
      </c>
      <c r="B19" s="156"/>
      <c r="C19" s="156"/>
      <c r="D19" s="156"/>
      <c r="E19" s="89">
        <f>(E8+E16)*0.1</f>
        <v>102.1302</v>
      </c>
      <c r="F19" s="156"/>
      <c r="G19" s="89">
        <f>(G8+G16)*0.1</f>
        <v>4968.906</v>
      </c>
      <c r="H19" s="89">
        <f>(H8+H16)*0.1</f>
        <v>73.83797142857144</v>
      </c>
      <c r="I19" s="156"/>
      <c r="J19" s="89">
        <f>(J8+J16)*0.1</f>
        <v>6080.823</v>
      </c>
      <c r="K19" s="89">
        <f>(K17+K8)*0.1</f>
        <v>164.796625</v>
      </c>
      <c r="L19" s="156"/>
      <c r="M19" s="89">
        <f>(M17+M8)*0.1</f>
        <v>10546.984000000002</v>
      </c>
      <c r="N19" s="119"/>
    </row>
    <row r="20" spans="1:14" s="5" customFormat="1" ht="18.75" customHeight="1">
      <c r="A20" s="12" t="s">
        <v>333</v>
      </c>
      <c r="B20" s="89">
        <f>(B17+B8)*10%</f>
        <v>79.3724</v>
      </c>
      <c r="C20" s="156"/>
      <c r="D20" s="89">
        <f>(D17+D8)*10%</f>
        <v>238.11700000000002</v>
      </c>
      <c r="E20" s="89">
        <f>(E17+E8)*10%</f>
        <v>64.26440000000001</v>
      </c>
      <c r="F20" s="156"/>
      <c r="G20" s="89">
        <f>(G17+G8)*10%</f>
        <v>4356.22</v>
      </c>
      <c r="H20" s="89">
        <f>(H17+H8)*10%</f>
        <v>66.3564</v>
      </c>
      <c r="I20" s="156"/>
      <c r="J20" s="89">
        <f>(J17+J8)*10%</f>
        <v>6713.188000000001</v>
      </c>
      <c r="K20" s="156"/>
      <c r="L20" s="156"/>
      <c r="M20" s="156"/>
      <c r="N20" s="119"/>
    </row>
    <row r="21" spans="1:16" ht="13.5" customHeight="1">
      <c r="A21" s="14"/>
      <c r="B21" s="14"/>
      <c r="C21" s="14"/>
      <c r="D21" s="14"/>
      <c r="E21" s="14"/>
      <c r="F21" s="14"/>
      <c r="G21" s="14"/>
      <c r="H21" s="14"/>
      <c r="I21" s="14"/>
      <c r="J21" s="56"/>
      <c r="K21" s="14"/>
      <c r="L21" s="14"/>
      <c r="M21" s="14"/>
      <c r="N21" s="78"/>
      <c r="P21" s="95"/>
    </row>
    <row r="22" spans="1:16" s="5" customFormat="1" ht="15">
      <c r="A22" s="14"/>
      <c r="B22" s="86"/>
      <c r="C22" s="86"/>
      <c r="D22" s="86"/>
      <c r="E22" s="86"/>
      <c r="F22" s="86"/>
      <c r="G22" s="86"/>
      <c r="H22" s="86"/>
      <c r="I22" s="86"/>
      <c r="J22" s="86"/>
      <c r="K22" s="86"/>
      <c r="L22" s="86"/>
      <c r="M22" s="86"/>
      <c r="N22" s="78"/>
      <c r="P22" s="96"/>
    </row>
    <row r="23" spans="1:17" ht="15" customHeight="1">
      <c r="A23" s="185" t="s">
        <v>336</v>
      </c>
      <c r="B23" s="185"/>
      <c r="C23" s="185"/>
      <c r="D23" s="185"/>
      <c r="E23" s="185"/>
      <c r="F23" s="185"/>
      <c r="G23" s="185"/>
      <c r="H23" s="185"/>
      <c r="I23" s="185"/>
      <c r="J23" s="185"/>
      <c r="K23" s="185"/>
      <c r="L23" s="185"/>
      <c r="P23" s="78"/>
      <c r="Q23" s="100"/>
    </row>
    <row r="24" spans="1:17" s="7" customFormat="1" ht="40.5" customHeight="1">
      <c r="A24" s="191" t="s">
        <v>201</v>
      </c>
      <c r="B24" s="191"/>
      <c r="C24" s="191"/>
      <c r="D24" s="191"/>
      <c r="E24" s="191"/>
      <c r="F24" s="191"/>
      <c r="G24" s="191"/>
      <c r="H24" s="191"/>
      <c r="I24" s="191"/>
      <c r="J24" s="191"/>
      <c r="K24" s="191"/>
      <c r="L24" s="191"/>
      <c r="M24" s="81"/>
      <c r="P24" s="94"/>
      <c r="Q24" s="94"/>
    </row>
    <row r="25" spans="1:16" s="7" customFormat="1" ht="108" customHeight="1">
      <c r="A25" s="185" t="s">
        <v>266</v>
      </c>
      <c r="B25" s="185"/>
      <c r="C25" s="185"/>
      <c r="D25" s="185"/>
      <c r="E25" s="185"/>
      <c r="F25" s="185"/>
      <c r="G25" s="185"/>
      <c r="H25" s="185"/>
      <c r="I25" s="185"/>
      <c r="J25" s="185"/>
      <c r="K25" s="185"/>
      <c r="L25" s="185"/>
      <c r="M25" s="81"/>
      <c r="P25" s="94"/>
    </row>
    <row r="26" spans="1:16" s="7" customFormat="1" ht="93" customHeight="1">
      <c r="A26" s="185" t="s">
        <v>267</v>
      </c>
      <c r="B26" s="185"/>
      <c r="C26" s="185"/>
      <c r="D26" s="185"/>
      <c r="E26" s="185"/>
      <c r="F26" s="185"/>
      <c r="G26" s="185"/>
      <c r="H26" s="185"/>
      <c r="I26" s="185"/>
      <c r="J26" s="185"/>
      <c r="K26" s="185"/>
      <c r="L26" s="185"/>
      <c r="M26" s="81"/>
      <c r="P26" s="94"/>
    </row>
    <row r="27" spans="1:13" ht="28.5" customHeight="1">
      <c r="A27" s="185" t="s">
        <v>337</v>
      </c>
      <c r="B27" s="185"/>
      <c r="C27" s="185"/>
      <c r="D27" s="185"/>
      <c r="E27" s="185"/>
      <c r="F27" s="185"/>
      <c r="G27" s="185"/>
      <c r="H27" s="185"/>
      <c r="I27" s="185"/>
      <c r="J27" s="185"/>
      <c r="K27" s="185"/>
      <c r="L27" s="185"/>
      <c r="M27" s="14"/>
    </row>
    <row r="28" spans="1:13" ht="84" customHeight="1">
      <c r="A28" s="185" t="s">
        <v>338</v>
      </c>
      <c r="B28" s="185"/>
      <c r="C28" s="185"/>
      <c r="D28" s="185"/>
      <c r="E28" s="185"/>
      <c r="F28" s="185"/>
      <c r="G28" s="185"/>
      <c r="H28" s="185"/>
      <c r="I28" s="185"/>
      <c r="J28" s="185"/>
      <c r="K28" s="185"/>
      <c r="L28" s="185"/>
      <c r="M28" s="14"/>
    </row>
    <row r="29" spans="1:13" ht="15">
      <c r="A29" s="14"/>
      <c r="B29" s="14"/>
      <c r="C29" s="14"/>
      <c r="D29" s="14"/>
      <c r="E29" s="14"/>
      <c r="F29" s="14"/>
      <c r="G29" s="14"/>
      <c r="H29" s="14"/>
      <c r="I29" s="14"/>
      <c r="J29" s="14"/>
      <c r="K29" s="14"/>
      <c r="L29" s="14"/>
      <c r="M29" s="14"/>
    </row>
    <row r="30" spans="1:13" ht="15">
      <c r="A30" s="14"/>
      <c r="B30" s="14"/>
      <c r="C30" s="14"/>
      <c r="D30" s="14"/>
      <c r="E30" s="14"/>
      <c r="F30" s="14"/>
      <c r="G30" s="14"/>
      <c r="H30" s="14"/>
      <c r="I30" s="14"/>
      <c r="J30" s="14"/>
      <c r="K30" s="14"/>
      <c r="L30" s="14"/>
      <c r="M30" s="14"/>
    </row>
    <row r="31" spans="1:13" ht="15">
      <c r="A31" s="14"/>
      <c r="B31" s="14"/>
      <c r="C31" s="14"/>
      <c r="D31" s="14"/>
      <c r="E31" s="14"/>
      <c r="F31" s="14"/>
      <c r="G31" s="14"/>
      <c r="H31" s="14"/>
      <c r="I31" s="14"/>
      <c r="J31" s="14"/>
      <c r="K31" s="14"/>
      <c r="L31" s="14"/>
      <c r="M31" s="14"/>
    </row>
  </sheetData>
  <sheetProtection/>
  <mergeCells count="17">
    <mergeCell ref="A28:L28"/>
    <mergeCell ref="A25:L25"/>
    <mergeCell ref="A26:L26"/>
    <mergeCell ref="N5:N7"/>
    <mergeCell ref="L2:M2"/>
    <mergeCell ref="A3:K3"/>
    <mergeCell ref="A23:L23"/>
    <mergeCell ref="A24:L24"/>
    <mergeCell ref="A27:L27"/>
    <mergeCell ref="B6:D6"/>
    <mergeCell ref="A18:M18"/>
    <mergeCell ref="E6:G6"/>
    <mergeCell ref="H6:J6"/>
    <mergeCell ref="K6:M6"/>
    <mergeCell ref="B5:M5"/>
    <mergeCell ref="A5:A7"/>
    <mergeCell ref="A15:M15"/>
  </mergeCells>
  <printOptions/>
  <pageMargins left="0.7" right="0.7" top="0.75" bottom="0.75" header="0.3" footer="0.3"/>
  <pageSetup fitToHeight="0"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B3:L29"/>
  <sheetViews>
    <sheetView showGridLines="0" zoomScale="130" zoomScaleNormal="130" zoomScalePageLayoutView="0" workbookViewId="0" topLeftCell="A9">
      <selection activeCell="L18" sqref="L18"/>
    </sheetView>
  </sheetViews>
  <sheetFormatPr defaultColWidth="9.140625" defaultRowHeight="15"/>
  <cols>
    <col min="2" max="2" width="24.421875" style="0" customWidth="1"/>
    <col min="3" max="3" width="14.57421875" style="0" customWidth="1"/>
    <col min="4" max="4" width="11.7109375" style="5" customWidth="1"/>
    <col min="5" max="5" width="13.57421875" style="0" customWidth="1"/>
    <col min="6" max="6" width="11.7109375" style="5" customWidth="1"/>
    <col min="7" max="7" width="10.28125" style="0" customWidth="1"/>
    <col min="8" max="8" width="10.00390625" style="5" customWidth="1"/>
    <col min="9" max="9" width="10.7109375" style="0" customWidth="1"/>
    <col min="10" max="10" width="10.57421875" style="5" customWidth="1"/>
    <col min="11" max="11" width="9.7109375" style="0" customWidth="1"/>
    <col min="12" max="12" width="10.28125" style="0" customWidth="1"/>
  </cols>
  <sheetData>
    <row r="2" s="5" customFormat="1" ht="14.25"/>
    <row r="3" spans="9:12" s="5" customFormat="1" ht="15">
      <c r="I3" s="50"/>
      <c r="J3" s="50"/>
      <c r="K3" s="189" t="s">
        <v>280</v>
      </c>
      <c r="L3" s="189"/>
    </row>
    <row r="4" s="5" customFormat="1" ht="14.25"/>
    <row r="5" spans="2:11" s="5" customFormat="1" ht="43.5" customHeight="1">
      <c r="B5" s="192" t="s">
        <v>64</v>
      </c>
      <c r="C5" s="192"/>
      <c r="D5" s="192"/>
      <c r="E5" s="192"/>
      <c r="F5" s="192"/>
      <c r="G5" s="192"/>
      <c r="H5" s="192"/>
      <c r="I5" s="192"/>
      <c r="J5" s="192"/>
      <c r="K5" s="192"/>
    </row>
    <row r="7" spans="2:12" ht="37.5" customHeight="1">
      <c r="B7" s="193" t="s">
        <v>57</v>
      </c>
      <c r="C7" s="196" t="s">
        <v>58</v>
      </c>
      <c r="D7" s="197"/>
      <c r="E7" s="184" t="s">
        <v>133</v>
      </c>
      <c r="F7" s="184"/>
      <c r="G7" s="184" t="s">
        <v>60</v>
      </c>
      <c r="H7" s="184"/>
      <c r="I7" s="184"/>
      <c r="J7" s="184"/>
      <c r="K7" s="184"/>
      <c r="L7" s="184"/>
    </row>
    <row r="8" spans="2:12" ht="31.5" customHeight="1">
      <c r="B8" s="194"/>
      <c r="C8" s="198"/>
      <c r="D8" s="199"/>
      <c r="E8" s="184"/>
      <c r="F8" s="184"/>
      <c r="G8" s="184" t="s">
        <v>4</v>
      </c>
      <c r="H8" s="184"/>
      <c r="I8" s="184" t="s">
        <v>3</v>
      </c>
      <c r="J8" s="184"/>
      <c r="K8" s="184" t="s">
        <v>59</v>
      </c>
      <c r="L8" s="184"/>
    </row>
    <row r="9" spans="2:12" s="5" customFormat="1" ht="77.25" customHeight="1">
      <c r="B9" s="195"/>
      <c r="C9" s="121" t="s">
        <v>134</v>
      </c>
      <c r="D9" s="121" t="s">
        <v>135</v>
      </c>
      <c r="E9" s="121" t="s">
        <v>134</v>
      </c>
      <c r="F9" s="121" t="s">
        <v>136</v>
      </c>
      <c r="G9" s="121" t="s">
        <v>260</v>
      </c>
      <c r="H9" s="121" t="s">
        <v>65</v>
      </c>
      <c r="I9" s="121" t="s">
        <v>260</v>
      </c>
      <c r="J9" s="121" t="s">
        <v>65</v>
      </c>
      <c r="K9" s="121" t="s">
        <v>261</v>
      </c>
      <c r="L9" s="121" t="s">
        <v>65</v>
      </c>
    </row>
    <row r="10" spans="2:12" s="5" customFormat="1" ht="15" hidden="1">
      <c r="B10" s="2">
        <v>1</v>
      </c>
      <c r="C10" s="25">
        <v>2</v>
      </c>
      <c r="D10" s="40">
        <v>3</v>
      </c>
      <c r="E10" s="25">
        <v>4</v>
      </c>
      <c r="F10" s="40">
        <v>5</v>
      </c>
      <c r="G10" s="25">
        <v>6</v>
      </c>
      <c r="H10" s="25">
        <v>7</v>
      </c>
      <c r="I10" s="25">
        <v>8</v>
      </c>
      <c r="J10" s="25">
        <v>9</v>
      </c>
      <c r="K10" s="25">
        <v>10</v>
      </c>
      <c r="L10" s="30">
        <v>11</v>
      </c>
    </row>
    <row r="11" spans="2:12" s="5" customFormat="1" ht="15">
      <c r="B11" s="31" t="s">
        <v>62</v>
      </c>
      <c r="C11" s="24"/>
      <c r="D11" s="93"/>
      <c r="E11" s="24"/>
      <c r="F11" s="24"/>
      <c r="G11" s="24">
        <f>1899.58*12</f>
        <v>22794.96</v>
      </c>
      <c r="H11" s="24"/>
      <c r="I11" s="24">
        <f>1595.55*12</f>
        <v>19146.6</v>
      </c>
      <c r="J11" s="24"/>
      <c r="K11" s="24">
        <f>1899.58*12</f>
        <v>22794.96</v>
      </c>
      <c r="L11" s="29"/>
    </row>
    <row r="12" spans="2:12" ht="15">
      <c r="B12" s="13" t="s">
        <v>56</v>
      </c>
      <c r="C12" s="22">
        <v>3</v>
      </c>
      <c r="D12" s="22">
        <v>0</v>
      </c>
      <c r="E12" s="22">
        <f>ROUND(C12/C16*100,0)</f>
        <v>1</v>
      </c>
      <c r="F12" s="22">
        <v>0</v>
      </c>
      <c r="G12" s="23">
        <f>ROUND((E12*G11)/100,2)+0.01</f>
        <v>227.95999999999998</v>
      </c>
      <c r="H12" s="23">
        <f>ROUND(G12/C12,2)</f>
        <v>75.99</v>
      </c>
      <c r="I12" s="23">
        <f>ROUND((E12*I11)/100,2)</f>
        <v>191.47</v>
      </c>
      <c r="J12" s="23">
        <f>ROUND(I12/C12,2)</f>
        <v>63.82</v>
      </c>
      <c r="K12" s="23">
        <v>0</v>
      </c>
      <c r="L12" s="23">
        <f>ROUND(K12/C12,2)</f>
        <v>0</v>
      </c>
    </row>
    <row r="13" spans="2:12" ht="15">
      <c r="B13" s="13" t="s">
        <v>46</v>
      </c>
      <c r="C13" s="22">
        <v>80</v>
      </c>
      <c r="D13" s="22">
        <v>80</v>
      </c>
      <c r="E13" s="22">
        <f>ROUND(C13/C16*100,0)</f>
        <v>31</v>
      </c>
      <c r="F13" s="22">
        <f>ROUND(D13/D16*100,0)</f>
        <v>32</v>
      </c>
      <c r="G13" s="22">
        <f>ROUND((E13*G11)/100,2)</f>
        <v>7066.44</v>
      </c>
      <c r="H13" s="23">
        <f>ROUND(G13/C13,2)</f>
        <v>88.33</v>
      </c>
      <c r="I13" s="23">
        <f>ROUND((E13*I11)/100,2)</f>
        <v>5935.45</v>
      </c>
      <c r="J13" s="23">
        <f>ROUND(I13/C13,2)</f>
        <v>74.19</v>
      </c>
      <c r="K13" s="23">
        <f>ROUND((F13*K11)/100,2)</f>
        <v>7294.39</v>
      </c>
      <c r="L13" s="23">
        <f>ROUND(K13/D13,2)</f>
        <v>91.18</v>
      </c>
    </row>
    <row r="14" spans="2:12" ht="32.25" customHeight="1">
      <c r="B14" s="98" t="s">
        <v>47</v>
      </c>
      <c r="C14" s="99">
        <v>108</v>
      </c>
      <c r="D14" s="99">
        <v>108</v>
      </c>
      <c r="E14" s="22">
        <f>ROUND(C14/C16*100,0)</f>
        <v>42</v>
      </c>
      <c r="F14" s="22">
        <f>ROUND(D14/D16*100,0)</f>
        <v>43</v>
      </c>
      <c r="G14" s="22">
        <f>ROUND((E14*G11)/100,2)</f>
        <v>9573.88</v>
      </c>
      <c r="H14" s="23">
        <f>ROUND(G14/C14,2)</f>
        <v>88.65</v>
      </c>
      <c r="I14" s="23">
        <f>ROUND((E14*I11)/100,2)</f>
        <v>8041.57</v>
      </c>
      <c r="J14" s="23">
        <f>ROUND(I14/C14,2)</f>
        <v>74.46</v>
      </c>
      <c r="K14" s="23">
        <f>ROUND((F14*K11)/100,2)</f>
        <v>9801.83</v>
      </c>
      <c r="L14" s="23">
        <f>ROUND(K14/D14,2)</f>
        <v>90.76</v>
      </c>
    </row>
    <row r="15" spans="2:12" ht="15">
      <c r="B15" s="98" t="s">
        <v>37</v>
      </c>
      <c r="C15" s="99">
        <v>64</v>
      </c>
      <c r="D15" s="99">
        <v>64</v>
      </c>
      <c r="E15" s="22">
        <f>ROUND(C15/C16*100,0)</f>
        <v>25</v>
      </c>
      <c r="F15" s="22">
        <f>ROUND(D15/D16*100,0)</f>
        <v>25</v>
      </c>
      <c r="G15" s="22">
        <f>ROUND((E15*G11)/100,2)</f>
        <v>5698.74</v>
      </c>
      <c r="H15" s="23">
        <f>ROUND(G15/C15,2)</f>
        <v>89.04</v>
      </c>
      <c r="I15" s="23">
        <f>ROUND((E15*I11)/100,2)</f>
        <v>4786.65</v>
      </c>
      <c r="J15" s="23">
        <f>ROUND(I15/C15,2)</f>
        <v>74.79</v>
      </c>
      <c r="K15" s="23">
        <f>ROUND((F15*K11)/100,2)</f>
        <v>5698.74</v>
      </c>
      <c r="L15" s="23">
        <f>ROUND(K15/D15,2)</f>
        <v>89.04</v>
      </c>
    </row>
    <row r="16" spans="2:12" ht="15">
      <c r="B16" s="33" t="s">
        <v>24</v>
      </c>
      <c r="C16" s="18">
        <f>SUM(C12:C15)</f>
        <v>255</v>
      </c>
      <c r="D16" s="18">
        <f>SUM(D12:D15)</f>
        <v>252</v>
      </c>
      <c r="E16" s="18">
        <f>SUM(E12:E15)</f>
        <v>99</v>
      </c>
      <c r="F16" s="18">
        <f>SUM(F12:F15)</f>
        <v>100</v>
      </c>
      <c r="G16" s="34">
        <f>SUM(G12:G15)</f>
        <v>22567.019999999997</v>
      </c>
      <c r="H16" s="34" t="s">
        <v>55</v>
      </c>
      <c r="I16" s="34">
        <f>SUM(I12:I15)</f>
        <v>18955.14</v>
      </c>
      <c r="J16" s="34" t="s">
        <v>55</v>
      </c>
      <c r="K16" s="34">
        <f>SUM(K12:K15)</f>
        <v>22794.96</v>
      </c>
      <c r="L16" s="22" t="s">
        <v>55</v>
      </c>
    </row>
    <row r="18" spans="2:11" s="5" customFormat="1" ht="147.75" customHeight="1">
      <c r="B18" s="51" t="s">
        <v>137</v>
      </c>
      <c r="C18" s="185" t="s">
        <v>268</v>
      </c>
      <c r="D18" s="185"/>
      <c r="E18" s="185"/>
      <c r="F18" s="185"/>
      <c r="G18" s="185"/>
      <c r="H18" s="185"/>
      <c r="I18" s="185"/>
      <c r="J18" s="185"/>
      <c r="K18" s="185"/>
    </row>
    <row r="19" spans="2:11" ht="15">
      <c r="B19" s="36" t="s">
        <v>63</v>
      </c>
      <c r="C19" s="124"/>
      <c r="D19" s="124"/>
      <c r="E19" s="124"/>
      <c r="F19" s="124"/>
      <c r="G19" s="124"/>
      <c r="H19" s="124"/>
      <c r="I19" s="124"/>
      <c r="J19" s="124"/>
      <c r="K19" s="124"/>
    </row>
    <row r="20" spans="2:11" ht="74.25" customHeight="1">
      <c r="B20" s="37" t="s">
        <v>4</v>
      </c>
      <c r="C20" s="185" t="s">
        <v>219</v>
      </c>
      <c r="D20" s="185"/>
      <c r="E20" s="185"/>
      <c r="F20" s="185"/>
      <c r="G20" s="185"/>
      <c r="H20" s="185"/>
      <c r="I20" s="185"/>
      <c r="J20" s="185"/>
      <c r="K20" s="185"/>
    </row>
    <row r="21" spans="2:11" ht="66.75" customHeight="1">
      <c r="B21" s="76" t="s">
        <v>3</v>
      </c>
      <c r="C21" s="185" t="s">
        <v>220</v>
      </c>
      <c r="D21" s="185"/>
      <c r="E21" s="185"/>
      <c r="F21" s="185"/>
      <c r="G21" s="185"/>
      <c r="H21" s="185"/>
      <c r="I21" s="185"/>
      <c r="J21" s="185"/>
      <c r="K21" s="185"/>
    </row>
    <row r="22" spans="2:11" ht="62.25" customHeight="1">
      <c r="B22" s="37" t="s">
        <v>61</v>
      </c>
      <c r="C22" s="185" t="s">
        <v>221</v>
      </c>
      <c r="D22" s="185"/>
      <c r="E22" s="185"/>
      <c r="F22" s="185"/>
      <c r="G22" s="185"/>
      <c r="H22" s="185"/>
      <c r="I22" s="185"/>
      <c r="J22" s="185"/>
      <c r="K22" s="185"/>
    </row>
    <row r="23" ht="14.25">
      <c r="B23" s="38"/>
    </row>
    <row r="24" ht="14.25">
      <c r="B24" s="38"/>
    </row>
    <row r="25" ht="14.25">
      <c r="B25" s="35"/>
    </row>
    <row r="26" ht="14.25">
      <c r="B26" s="35"/>
    </row>
    <row r="27" ht="14.25">
      <c r="B27" s="35"/>
    </row>
    <row r="28" ht="14.25">
      <c r="B28" s="35"/>
    </row>
    <row r="29" ht="14.25">
      <c r="B29" s="35"/>
    </row>
  </sheetData>
  <sheetProtection/>
  <mergeCells count="13">
    <mergeCell ref="C22:K22"/>
    <mergeCell ref="C18:K18"/>
    <mergeCell ref="G8:H8"/>
    <mergeCell ref="I8:J8"/>
    <mergeCell ref="K8:L8"/>
    <mergeCell ref="E7:F8"/>
    <mergeCell ref="B5:K5"/>
    <mergeCell ref="G7:L7"/>
    <mergeCell ref="B7:B9"/>
    <mergeCell ref="C20:K20"/>
    <mergeCell ref="C21:K21"/>
    <mergeCell ref="K3:L3"/>
    <mergeCell ref="C7:D8"/>
  </mergeCells>
  <printOptions/>
  <pageMargins left="0.7" right="0.7" top="0.75" bottom="0.75" header="0.3" footer="0.3"/>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2:P31"/>
  <sheetViews>
    <sheetView showGridLines="0" tabSelected="1" zoomScale="69" zoomScaleNormal="69" zoomScalePageLayoutView="0" workbookViewId="0" topLeftCell="A4">
      <pane xSplit="2" ySplit="6" topLeftCell="J25" activePane="bottomRight" state="frozen"/>
      <selection pane="topLeft" activeCell="A4" sqref="A4"/>
      <selection pane="topRight" activeCell="C4" sqref="C4"/>
      <selection pane="bottomLeft" activeCell="A8" sqref="A8"/>
      <selection pane="bottomRight" activeCell="K10" sqref="K10:M13"/>
    </sheetView>
  </sheetViews>
  <sheetFormatPr defaultColWidth="8.7109375" defaultRowHeight="15"/>
  <cols>
    <col min="1" max="1" width="8.7109375" style="7" customWidth="1"/>
    <col min="2" max="2" width="14.421875" style="7" customWidth="1"/>
    <col min="3" max="3" width="11.57421875" style="7" customWidth="1"/>
    <col min="4" max="4" width="11.421875" style="7" customWidth="1"/>
    <col min="5" max="5" width="13.57421875" style="7" customWidth="1"/>
    <col min="6" max="7" width="10.57421875" style="7" customWidth="1"/>
    <col min="8" max="8" width="10.00390625" style="7" customWidth="1"/>
    <col min="9" max="10" width="10.421875" style="7" customWidth="1"/>
    <col min="11" max="11" width="10.7109375" style="7" customWidth="1"/>
    <col min="12" max="13" width="11.00390625" style="7" customWidth="1"/>
    <col min="14" max="14" width="35.7109375" style="7" customWidth="1"/>
    <col min="15" max="15" width="42.7109375" style="7" customWidth="1"/>
    <col min="16" max="16" width="47.28125" style="7" customWidth="1"/>
    <col min="17" max="16384" width="8.7109375" style="7" customWidth="1"/>
  </cols>
  <sheetData>
    <row r="2" ht="15">
      <c r="P2" s="128" t="s">
        <v>27</v>
      </c>
    </row>
    <row r="5" ht="15">
      <c r="P5" s="128" t="s">
        <v>279</v>
      </c>
    </row>
    <row r="6" spans="2:16" ht="15">
      <c r="B6" s="204" t="s">
        <v>340</v>
      </c>
      <c r="C6" s="204"/>
      <c r="D6" s="204"/>
      <c r="E6" s="204"/>
      <c r="F6" s="204"/>
      <c r="G6" s="204"/>
      <c r="H6" s="204"/>
      <c r="I6" s="204"/>
      <c r="J6" s="204"/>
      <c r="K6" s="204"/>
      <c r="L6" s="204"/>
      <c r="M6" s="204"/>
      <c r="N6" s="204"/>
      <c r="O6" s="204"/>
      <c r="P6" s="204"/>
    </row>
    <row r="7" spans="2:16" ht="15">
      <c r="B7" s="81"/>
      <c r="C7" s="81"/>
      <c r="D7" s="81"/>
      <c r="E7" s="81"/>
      <c r="F7" s="81"/>
      <c r="G7" s="81"/>
      <c r="H7" s="81"/>
      <c r="I7" s="81"/>
      <c r="J7" s="81"/>
      <c r="K7" s="81"/>
      <c r="L7" s="81"/>
      <c r="M7" s="81"/>
      <c r="N7" s="81"/>
      <c r="O7" s="81"/>
      <c r="P7" s="81"/>
    </row>
    <row r="8" spans="2:16" ht="33" customHeight="1">
      <c r="B8" s="200" t="s">
        <v>6</v>
      </c>
      <c r="C8" s="200" t="s">
        <v>10</v>
      </c>
      <c r="D8" s="200" t="s">
        <v>12</v>
      </c>
      <c r="E8" s="200" t="s">
        <v>11</v>
      </c>
      <c r="F8" s="210" t="s">
        <v>40</v>
      </c>
      <c r="G8" s="211"/>
      <c r="H8" s="210" t="s">
        <v>48</v>
      </c>
      <c r="I8" s="211"/>
      <c r="J8" s="210" t="s">
        <v>49</v>
      </c>
      <c r="K8" s="211"/>
      <c r="L8" s="210" t="s">
        <v>37</v>
      </c>
      <c r="M8" s="211"/>
      <c r="N8" s="200" t="s">
        <v>23</v>
      </c>
      <c r="O8" s="200" t="s">
        <v>5</v>
      </c>
      <c r="P8" s="202" t="s">
        <v>17</v>
      </c>
    </row>
    <row r="9" spans="2:16" ht="48.75" customHeight="1">
      <c r="B9" s="201"/>
      <c r="C9" s="201"/>
      <c r="D9" s="201"/>
      <c r="E9" s="201"/>
      <c r="F9" s="129" t="s">
        <v>41</v>
      </c>
      <c r="G9" s="129" t="s">
        <v>42</v>
      </c>
      <c r="H9" s="129" t="s">
        <v>41</v>
      </c>
      <c r="I9" s="129" t="s">
        <v>42</v>
      </c>
      <c r="J9" s="129" t="s">
        <v>41</v>
      </c>
      <c r="K9" s="129" t="s">
        <v>42</v>
      </c>
      <c r="L9" s="129" t="s">
        <v>41</v>
      </c>
      <c r="M9" s="129" t="s">
        <v>42</v>
      </c>
      <c r="N9" s="201"/>
      <c r="O9" s="201"/>
      <c r="P9" s="203"/>
    </row>
    <row r="10" spans="2:16" ht="102.75" customHeight="1">
      <c r="B10" s="130" t="s">
        <v>7</v>
      </c>
      <c r="C10" s="97">
        <v>3.13</v>
      </c>
      <c r="D10" s="130">
        <v>255</v>
      </c>
      <c r="E10" s="97">
        <f>C10*D10</f>
        <v>798.15</v>
      </c>
      <c r="F10" s="130">
        <v>3</v>
      </c>
      <c r="G10" s="97">
        <f>C10*F10</f>
        <v>9.39</v>
      </c>
      <c r="H10" s="130">
        <v>80</v>
      </c>
      <c r="I10" s="97">
        <f>H10*C10</f>
        <v>250.39999999999998</v>
      </c>
      <c r="J10" s="153">
        <v>108</v>
      </c>
      <c r="K10" s="309">
        <f>J10*C10</f>
        <v>338.03999999999996</v>
      </c>
      <c r="L10" s="308">
        <f>'8.1. pielikums'!L17</f>
        <v>64</v>
      </c>
      <c r="M10" s="309">
        <f aca="true" t="shared" si="0" ref="M10:M15">L10*C10</f>
        <v>200.32</v>
      </c>
      <c r="N10" s="70" t="s">
        <v>269</v>
      </c>
      <c r="O10" s="70" t="s">
        <v>112</v>
      </c>
      <c r="P10" s="70" t="s">
        <v>36</v>
      </c>
    </row>
    <row r="11" spans="2:16" ht="166.5" customHeight="1">
      <c r="B11" s="44" t="s">
        <v>8</v>
      </c>
      <c r="C11" s="97">
        <v>0.934</v>
      </c>
      <c r="D11" s="130">
        <v>191</v>
      </c>
      <c r="E11" s="130">
        <f>C11*D11</f>
        <v>178.394</v>
      </c>
      <c r="F11" s="130">
        <v>3</v>
      </c>
      <c r="G11" s="97">
        <f aca="true" t="shared" si="1" ref="G11:G28">C11*F11</f>
        <v>2.802</v>
      </c>
      <c r="H11" s="130">
        <v>80</v>
      </c>
      <c r="I11" s="97">
        <f aca="true" t="shared" si="2" ref="I11:I28">H11*C11</f>
        <v>74.72</v>
      </c>
      <c r="J11" s="153">
        <v>108</v>
      </c>
      <c r="K11" s="309">
        <f aca="true" t="shared" si="3" ref="K11:K28">J11*C11</f>
        <v>100.872</v>
      </c>
      <c r="L11" s="99">
        <v>0</v>
      </c>
      <c r="M11" s="309">
        <f t="shared" si="0"/>
        <v>0</v>
      </c>
      <c r="N11" s="70" t="s">
        <v>366</v>
      </c>
      <c r="O11" s="70" t="s">
        <v>54</v>
      </c>
      <c r="P11" s="70" t="s">
        <v>9</v>
      </c>
    </row>
    <row r="12" spans="2:16" ht="141.75" customHeight="1">
      <c r="B12" s="3" t="s">
        <v>13</v>
      </c>
      <c r="C12" s="97">
        <v>2.35</v>
      </c>
      <c r="D12" s="130">
        <v>255</v>
      </c>
      <c r="E12" s="97">
        <f aca="true" t="shared" si="4" ref="E12:E28">C12*D12</f>
        <v>599.25</v>
      </c>
      <c r="F12" s="130">
        <v>3</v>
      </c>
      <c r="G12" s="97">
        <f t="shared" si="1"/>
        <v>7.050000000000001</v>
      </c>
      <c r="H12" s="130">
        <v>80</v>
      </c>
      <c r="I12" s="97">
        <f t="shared" si="2"/>
        <v>188</v>
      </c>
      <c r="J12" s="153">
        <v>108</v>
      </c>
      <c r="K12" s="309">
        <f t="shared" si="3"/>
        <v>253.8</v>
      </c>
      <c r="L12" s="308">
        <f>'8.1. pielikums'!L17</f>
        <v>64</v>
      </c>
      <c r="M12" s="309">
        <f t="shared" si="0"/>
        <v>150.4</v>
      </c>
      <c r="N12" s="70" t="s">
        <v>367</v>
      </c>
      <c r="O12" s="70" t="s">
        <v>287</v>
      </c>
      <c r="P12" s="70" t="s">
        <v>39</v>
      </c>
    </row>
    <row r="13" spans="2:16" ht="108.75">
      <c r="B13" s="131" t="s">
        <v>25</v>
      </c>
      <c r="C13" s="132">
        <v>124.72</v>
      </c>
      <c r="D13" s="130">
        <v>255</v>
      </c>
      <c r="E13" s="133">
        <f t="shared" si="4"/>
        <v>31803.6</v>
      </c>
      <c r="F13" s="130">
        <v>3</v>
      </c>
      <c r="G13" s="97">
        <f t="shared" si="1"/>
        <v>374.15999999999997</v>
      </c>
      <c r="H13" s="130">
        <v>80</v>
      </c>
      <c r="I13" s="97">
        <f t="shared" si="2"/>
        <v>9977.6</v>
      </c>
      <c r="J13" s="153">
        <v>108</v>
      </c>
      <c r="K13" s="309">
        <f t="shared" si="3"/>
        <v>13469.76</v>
      </c>
      <c r="L13" s="308">
        <f>'8.1. pielikums'!L17</f>
        <v>64</v>
      </c>
      <c r="M13" s="309">
        <f t="shared" si="0"/>
        <v>7982.08</v>
      </c>
      <c r="N13" s="162" t="s">
        <v>270</v>
      </c>
      <c r="O13" s="162" t="s">
        <v>288</v>
      </c>
      <c r="P13" s="70" t="s">
        <v>16</v>
      </c>
    </row>
    <row r="14" spans="2:16" ht="279" customHeight="1">
      <c r="B14" s="3" t="s">
        <v>28</v>
      </c>
      <c r="C14" s="130">
        <v>32.33</v>
      </c>
      <c r="D14" s="130">
        <v>58</v>
      </c>
      <c r="E14" s="97">
        <f t="shared" si="4"/>
        <v>1875.1399999999999</v>
      </c>
      <c r="F14" s="130">
        <v>0</v>
      </c>
      <c r="G14" s="97">
        <f t="shared" si="1"/>
        <v>0</v>
      </c>
      <c r="H14" s="130">
        <v>6</v>
      </c>
      <c r="I14" s="97">
        <f t="shared" si="2"/>
        <v>193.98</v>
      </c>
      <c r="J14" s="132">
        <v>28</v>
      </c>
      <c r="K14" s="309">
        <f t="shared" si="3"/>
        <v>905.24</v>
      </c>
      <c r="L14" s="99">
        <v>24</v>
      </c>
      <c r="M14" s="309">
        <f t="shared" si="0"/>
        <v>775.92</v>
      </c>
      <c r="N14" s="70" t="s">
        <v>263</v>
      </c>
      <c r="O14" s="70" t="s">
        <v>368</v>
      </c>
      <c r="P14" s="208" t="s">
        <v>369</v>
      </c>
    </row>
    <row r="15" spans="2:16" ht="60" customHeight="1">
      <c r="B15" s="44" t="s">
        <v>29</v>
      </c>
      <c r="C15" s="130">
        <v>22.78</v>
      </c>
      <c r="D15" s="130">
        <v>255</v>
      </c>
      <c r="E15" s="133">
        <f>C15*D15</f>
        <v>5808.900000000001</v>
      </c>
      <c r="F15" s="130">
        <v>3</v>
      </c>
      <c r="G15" s="97">
        <f t="shared" si="1"/>
        <v>68.34</v>
      </c>
      <c r="H15" s="130">
        <v>80</v>
      </c>
      <c r="I15" s="97">
        <f t="shared" si="2"/>
        <v>1822.4</v>
      </c>
      <c r="J15" s="153">
        <v>108</v>
      </c>
      <c r="K15" s="309">
        <f t="shared" si="3"/>
        <v>2460.2400000000002</v>
      </c>
      <c r="L15" s="308">
        <f>'8.1. pielikums'!L17</f>
        <v>64</v>
      </c>
      <c r="M15" s="309">
        <f t="shared" si="0"/>
        <v>1457.92</v>
      </c>
      <c r="N15" s="70" t="s">
        <v>262</v>
      </c>
      <c r="O15" s="70"/>
      <c r="P15" s="209"/>
    </row>
    <row r="16" spans="2:16" ht="87" customHeight="1">
      <c r="B16" s="205" t="s">
        <v>53</v>
      </c>
      <c r="C16" s="130">
        <v>96</v>
      </c>
      <c r="D16" s="130">
        <v>24</v>
      </c>
      <c r="E16" s="133">
        <f t="shared" si="4"/>
        <v>2304</v>
      </c>
      <c r="F16" s="130">
        <v>0</v>
      </c>
      <c r="G16" s="97">
        <f t="shared" si="1"/>
        <v>0</v>
      </c>
      <c r="H16" s="130">
        <v>24</v>
      </c>
      <c r="I16" s="97">
        <f t="shared" si="2"/>
        <v>2304</v>
      </c>
      <c r="J16" s="132">
        <v>0</v>
      </c>
      <c r="K16" s="309">
        <f t="shared" si="3"/>
        <v>0</v>
      </c>
      <c r="L16" s="212">
        <v>40</v>
      </c>
      <c r="M16" s="214">
        <f>L16*C17</f>
        <v>7680</v>
      </c>
      <c r="N16" s="208" t="s">
        <v>360</v>
      </c>
      <c r="O16" s="208" t="s">
        <v>293</v>
      </c>
      <c r="P16" s="208" t="s">
        <v>300</v>
      </c>
    </row>
    <row r="17" spans="2:16" ht="102" customHeight="1">
      <c r="B17" s="206"/>
      <c r="C17" s="130">
        <v>192</v>
      </c>
      <c r="D17" s="130">
        <v>40</v>
      </c>
      <c r="E17" s="133">
        <f t="shared" si="4"/>
        <v>7680</v>
      </c>
      <c r="F17" s="130"/>
      <c r="G17" s="97">
        <f t="shared" si="1"/>
        <v>0</v>
      </c>
      <c r="H17" s="130"/>
      <c r="I17" s="97">
        <f t="shared" si="2"/>
        <v>0</v>
      </c>
      <c r="J17" s="132"/>
      <c r="K17" s="309">
        <f t="shared" si="3"/>
        <v>0</v>
      </c>
      <c r="L17" s="213"/>
      <c r="M17" s="215"/>
      <c r="N17" s="209"/>
      <c r="O17" s="209"/>
      <c r="P17" s="209"/>
    </row>
    <row r="18" spans="2:16" ht="124.5" customHeight="1">
      <c r="B18" s="3" t="s">
        <v>30</v>
      </c>
      <c r="C18" s="130">
        <v>51.76</v>
      </c>
      <c r="D18" s="130">
        <v>30</v>
      </c>
      <c r="E18" s="133">
        <f t="shared" si="4"/>
        <v>1552.8</v>
      </c>
      <c r="F18" s="130">
        <v>0</v>
      </c>
      <c r="G18" s="97">
        <f t="shared" si="1"/>
        <v>0</v>
      </c>
      <c r="H18" s="130">
        <v>30</v>
      </c>
      <c r="I18" s="97">
        <f t="shared" si="2"/>
        <v>1552.8</v>
      </c>
      <c r="J18" s="212">
        <v>16</v>
      </c>
      <c r="K18" s="214">
        <f>J18*C19</f>
        <v>207.04</v>
      </c>
      <c r="L18" s="222">
        <f>'8.1. pielikums'!L17</f>
        <v>64</v>
      </c>
      <c r="M18" s="214">
        <f>L18*C21</f>
        <v>2070.4</v>
      </c>
      <c r="N18" s="70" t="s">
        <v>361</v>
      </c>
      <c r="O18" s="207" t="s">
        <v>111</v>
      </c>
      <c r="P18" s="70" t="s">
        <v>32</v>
      </c>
    </row>
    <row r="19" spans="1:16" ht="129" customHeight="1">
      <c r="A19" s="94"/>
      <c r="B19" s="3" t="s">
        <v>50</v>
      </c>
      <c r="C19" s="130">
        <v>12.94</v>
      </c>
      <c r="D19" s="130">
        <v>16</v>
      </c>
      <c r="E19" s="133">
        <f t="shared" si="4"/>
        <v>207.04</v>
      </c>
      <c r="F19" s="130">
        <v>0</v>
      </c>
      <c r="G19" s="97">
        <f t="shared" si="1"/>
        <v>0</v>
      </c>
      <c r="H19" s="130"/>
      <c r="I19" s="97">
        <f t="shared" si="2"/>
        <v>0</v>
      </c>
      <c r="J19" s="213"/>
      <c r="K19" s="215"/>
      <c r="L19" s="216"/>
      <c r="M19" s="217"/>
      <c r="N19" s="70" t="s">
        <v>359</v>
      </c>
      <c r="O19" s="207"/>
      <c r="P19" s="208" t="s">
        <v>33</v>
      </c>
    </row>
    <row r="20" spans="1:16" ht="102" customHeight="1">
      <c r="A20" s="94"/>
      <c r="B20" s="3" t="s">
        <v>271</v>
      </c>
      <c r="C20" s="130">
        <v>25.88</v>
      </c>
      <c r="D20" s="130">
        <v>12</v>
      </c>
      <c r="E20" s="133">
        <f t="shared" si="4"/>
        <v>310.56</v>
      </c>
      <c r="F20" s="130">
        <v>0</v>
      </c>
      <c r="G20" s="97">
        <f t="shared" si="1"/>
        <v>0</v>
      </c>
      <c r="H20" s="130"/>
      <c r="I20" s="97">
        <f t="shared" si="2"/>
        <v>0</v>
      </c>
      <c r="J20" s="99">
        <v>12</v>
      </c>
      <c r="K20" s="309">
        <f t="shared" si="3"/>
        <v>310.56</v>
      </c>
      <c r="L20" s="216"/>
      <c r="M20" s="217"/>
      <c r="N20" s="70" t="s">
        <v>362</v>
      </c>
      <c r="O20" s="207"/>
      <c r="P20" s="209"/>
    </row>
    <row r="21" spans="1:16" ht="88.5" customHeight="1">
      <c r="A21" s="94"/>
      <c r="B21" s="3" t="s">
        <v>31</v>
      </c>
      <c r="C21" s="130">
        <v>32.35</v>
      </c>
      <c r="D21" s="130">
        <v>64</v>
      </c>
      <c r="E21" s="133">
        <f t="shared" si="4"/>
        <v>2070.4</v>
      </c>
      <c r="F21" s="130">
        <v>0</v>
      </c>
      <c r="G21" s="97">
        <f t="shared" si="1"/>
        <v>0</v>
      </c>
      <c r="H21" s="130"/>
      <c r="I21" s="97">
        <f t="shared" si="2"/>
        <v>0</v>
      </c>
      <c r="J21" s="132"/>
      <c r="K21" s="309">
        <f t="shared" si="3"/>
        <v>0</v>
      </c>
      <c r="L21" s="213"/>
      <c r="M21" s="215"/>
      <c r="N21" s="70" t="s">
        <v>363</v>
      </c>
      <c r="O21" s="207"/>
      <c r="P21" s="70" t="s">
        <v>301</v>
      </c>
    </row>
    <row r="22" spans="1:16" ht="162.75" customHeight="1">
      <c r="A22" s="94"/>
      <c r="B22" s="44" t="s">
        <v>34</v>
      </c>
      <c r="C22" s="97">
        <v>186.08</v>
      </c>
      <c r="D22" s="130">
        <f>H22+L22</f>
        <v>64</v>
      </c>
      <c r="E22" s="133">
        <f t="shared" si="4"/>
        <v>11909.12</v>
      </c>
      <c r="F22" s="130">
        <v>0</v>
      </c>
      <c r="G22" s="97">
        <f t="shared" si="1"/>
        <v>0</v>
      </c>
      <c r="H22" s="130">
        <v>24</v>
      </c>
      <c r="I22" s="97">
        <f>H22*C22</f>
        <v>4465.92</v>
      </c>
      <c r="J22" s="132">
        <v>0</v>
      </c>
      <c r="K22" s="309">
        <f t="shared" si="3"/>
        <v>0</v>
      </c>
      <c r="L22" s="99">
        <v>40</v>
      </c>
      <c r="M22" s="309">
        <f>L22*C22</f>
        <v>7443.200000000001</v>
      </c>
      <c r="N22" s="70" t="s">
        <v>229</v>
      </c>
      <c r="O22" s="70" t="s">
        <v>289</v>
      </c>
      <c r="P22" s="70" t="s">
        <v>302</v>
      </c>
    </row>
    <row r="23" spans="1:16" ht="162.75" customHeight="1">
      <c r="A23" s="94"/>
      <c r="B23" s="44" t="s">
        <v>216</v>
      </c>
      <c r="C23" s="97">
        <v>43.46</v>
      </c>
      <c r="D23" s="130">
        <f>H23+L23</f>
        <v>64</v>
      </c>
      <c r="E23" s="133">
        <f>C23*D23</f>
        <v>2781.44</v>
      </c>
      <c r="F23" s="130">
        <v>0</v>
      </c>
      <c r="G23" s="97">
        <f>C23*F23</f>
        <v>0</v>
      </c>
      <c r="H23" s="130">
        <v>24</v>
      </c>
      <c r="I23" s="97">
        <f>H23*C23</f>
        <v>1043.04</v>
      </c>
      <c r="J23" s="132">
        <v>0</v>
      </c>
      <c r="K23" s="309">
        <f>J23*C23</f>
        <v>0</v>
      </c>
      <c r="L23" s="99">
        <v>40</v>
      </c>
      <c r="M23" s="309">
        <f>L23*C23</f>
        <v>1738.4</v>
      </c>
      <c r="N23" s="70" t="s">
        <v>230</v>
      </c>
      <c r="O23" s="70" t="s">
        <v>290</v>
      </c>
      <c r="P23" s="70" t="s">
        <v>303</v>
      </c>
    </row>
    <row r="24" spans="1:16" ht="246" customHeight="1">
      <c r="A24" s="94"/>
      <c r="B24" s="44" t="s">
        <v>38</v>
      </c>
      <c r="C24" s="130">
        <v>107.73</v>
      </c>
      <c r="D24" s="130">
        <v>88</v>
      </c>
      <c r="E24" s="133">
        <f>C24*D24</f>
        <v>9480.24</v>
      </c>
      <c r="F24" s="130"/>
      <c r="G24" s="97">
        <f t="shared" si="1"/>
        <v>0</v>
      </c>
      <c r="H24" s="130">
        <v>80</v>
      </c>
      <c r="I24" s="97">
        <f t="shared" si="2"/>
        <v>8618.4</v>
      </c>
      <c r="J24" s="132">
        <v>8</v>
      </c>
      <c r="K24" s="309">
        <f t="shared" si="3"/>
        <v>861.84</v>
      </c>
      <c r="L24" s="99">
        <v>0</v>
      </c>
      <c r="M24" s="309">
        <f>L24*C24</f>
        <v>0</v>
      </c>
      <c r="N24" s="70" t="s">
        <v>364</v>
      </c>
      <c r="O24" s="70" t="s">
        <v>291</v>
      </c>
      <c r="P24" s="70" t="s">
        <v>264</v>
      </c>
    </row>
    <row r="25" spans="1:16" ht="67.5" customHeight="1">
      <c r="A25" s="94"/>
      <c r="B25" s="134" t="s">
        <v>43</v>
      </c>
      <c r="C25" s="130">
        <v>60</v>
      </c>
      <c r="D25" s="130">
        <v>30</v>
      </c>
      <c r="E25" s="133">
        <f t="shared" si="4"/>
        <v>1800</v>
      </c>
      <c r="F25" s="130">
        <v>0</v>
      </c>
      <c r="G25" s="97">
        <f t="shared" si="1"/>
        <v>0</v>
      </c>
      <c r="H25" s="130">
        <v>30</v>
      </c>
      <c r="I25" s="97">
        <f t="shared" si="2"/>
        <v>1800</v>
      </c>
      <c r="J25" s="212">
        <v>28</v>
      </c>
      <c r="K25" s="214">
        <f>J25*C26</f>
        <v>672</v>
      </c>
      <c r="L25" s="212">
        <v>64</v>
      </c>
      <c r="M25" s="214">
        <f>L25*C27</f>
        <v>3072</v>
      </c>
      <c r="N25" s="70" t="s">
        <v>52</v>
      </c>
      <c r="O25" s="208" t="s">
        <v>365</v>
      </c>
      <c r="P25" s="208" t="s">
        <v>239</v>
      </c>
    </row>
    <row r="26" spans="1:16" ht="63" customHeight="1">
      <c r="A26" s="94"/>
      <c r="B26" s="134" t="s">
        <v>44</v>
      </c>
      <c r="C26" s="130">
        <v>24</v>
      </c>
      <c r="D26" s="130">
        <v>28</v>
      </c>
      <c r="E26" s="133">
        <f t="shared" si="4"/>
        <v>672</v>
      </c>
      <c r="F26" s="130"/>
      <c r="G26" s="97"/>
      <c r="H26" s="130"/>
      <c r="I26" s="97"/>
      <c r="J26" s="213"/>
      <c r="K26" s="215"/>
      <c r="L26" s="216"/>
      <c r="M26" s="217"/>
      <c r="N26" s="70" t="s">
        <v>51</v>
      </c>
      <c r="O26" s="218"/>
      <c r="P26" s="218"/>
    </row>
    <row r="27" spans="1:16" ht="76.5" customHeight="1">
      <c r="A27" s="94"/>
      <c r="B27" s="134" t="s">
        <v>45</v>
      </c>
      <c r="C27" s="130">
        <v>48</v>
      </c>
      <c r="D27" s="130">
        <v>64</v>
      </c>
      <c r="E27" s="133">
        <f t="shared" si="4"/>
        <v>3072</v>
      </c>
      <c r="F27" s="130"/>
      <c r="G27" s="97"/>
      <c r="H27" s="130"/>
      <c r="I27" s="97"/>
      <c r="J27" s="132"/>
      <c r="K27" s="154"/>
      <c r="L27" s="213"/>
      <c r="M27" s="215"/>
      <c r="N27" s="70" t="s">
        <v>240</v>
      </c>
      <c r="O27" s="209"/>
      <c r="P27" s="209"/>
    </row>
    <row r="28" spans="1:16" ht="78">
      <c r="A28" s="94"/>
      <c r="B28" s="44" t="s">
        <v>35</v>
      </c>
      <c r="C28" s="130">
        <v>70.48</v>
      </c>
      <c r="D28" s="130">
        <v>64</v>
      </c>
      <c r="E28" s="133">
        <f t="shared" si="4"/>
        <v>4510.72</v>
      </c>
      <c r="F28" s="130"/>
      <c r="G28" s="97">
        <f t="shared" si="1"/>
        <v>0</v>
      </c>
      <c r="H28" s="130"/>
      <c r="I28" s="97">
        <f t="shared" si="2"/>
        <v>0</v>
      </c>
      <c r="J28" s="132"/>
      <c r="K28" s="309">
        <f t="shared" si="3"/>
        <v>0</v>
      </c>
      <c r="L28" s="99">
        <v>64</v>
      </c>
      <c r="M28" s="309">
        <f>L28*C28</f>
        <v>4510.72</v>
      </c>
      <c r="N28" s="70" t="s">
        <v>241</v>
      </c>
      <c r="O28" s="70" t="s">
        <v>292</v>
      </c>
      <c r="P28" s="70" t="s">
        <v>242</v>
      </c>
    </row>
    <row r="29" spans="2:16" ht="15">
      <c r="B29" s="219" t="s">
        <v>11</v>
      </c>
      <c r="C29" s="220"/>
      <c r="D29" s="221"/>
      <c r="E29" s="135">
        <f>SUM(E10:E28)</f>
        <v>89413.75400000002</v>
      </c>
      <c r="F29" s="135" t="s">
        <v>55</v>
      </c>
      <c r="G29" s="135">
        <f>SUM(G10:G28)</f>
        <v>461.74199999999996</v>
      </c>
      <c r="H29" s="135" t="s">
        <v>55</v>
      </c>
      <c r="I29" s="135">
        <f>SUM(I10:I28)</f>
        <v>32291.260000000002</v>
      </c>
      <c r="J29" s="135" t="s">
        <v>55</v>
      </c>
      <c r="K29" s="135">
        <f>SUM(K10:K28)</f>
        <v>19579.392000000003</v>
      </c>
      <c r="L29" s="135" t="s">
        <v>55</v>
      </c>
      <c r="M29" s="135">
        <f>SUM(M10:M28)</f>
        <v>37081.36</v>
      </c>
      <c r="N29" s="130"/>
      <c r="O29" s="130"/>
      <c r="P29" s="130"/>
    </row>
    <row r="30" spans="2:16" ht="15">
      <c r="B30" s="136"/>
      <c r="C30" s="136"/>
      <c r="D30" s="136"/>
      <c r="E30" s="136"/>
      <c r="F30" s="136"/>
      <c r="G30" s="81"/>
      <c r="H30" s="81"/>
      <c r="I30" s="81"/>
      <c r="J30" s="81"/>
      <c r="K30" s="81"/>
      <c r="L30" s="81"/>
      <c r="M30" s="81"/>
      <c r="N30" s="81"/>
      <c r="O30" s="81"/>
      <c r="P30" s="81"/>
    </row>
    <row r="31" spans="2:16" ht="15">
      <c r="B31" s="81"/>
      <c r="C31" s="81"/>
      <c r="D31" s="81"/>
      <c r="E31" s="81"/>
      <c r="F31" s="81"/>
      <c r="G31" s="81"/>
      <c r="H31" s="81"/>
      <c r="I31" s="81"/>
      <c r="J31" s="81"/>
      <c r="K31" s="81"/>
      <c r="L31" s="81"/>
      <c r="M31" s="81"/>
      <c r="N31" s="81"/>
      <c r="O31" s="81"/>
      <c r="P31" s="81"/>
    </row>
  </sheetData>
  <sheetProtection/>
  <mergeCells count="32">
    <mergeCell ref="B29:D29"/>
    <mergeCell ref="P25:P27"/>
    <mergeCell ref="J18:J19"/>
    <mergeCell ref="K18:K19"/>
    <mergeCell ref="L18:L21"/>
    <mergeCell ref="M18:M21"/>
    <mergeCell ref="L16:L17"/>
    <mergeCell ref="M16:M17"/>
    <mergeCell ref="N16:N17"/>
    <mergeCell ref="O16:O17"/>
    <mergeCell ref="P16:P17"/>
    <mergeCell ref="J25:J26"/>
    <mergeCell ref="K25:K26"/>
    <mergeCell ref="L25:L27"/>
    <mergeCell ref="M25:M27"/>
    <mergeCell ref="O25:O27"/>
    <mergeCell ref="B16:B17"/>
    <mergeCell ref="O18:O21"/>
    <mergeCell ref="P14:P15"/>
    <mergeCell ref="P19:P20"/>
    <mergeCell ref="F8:G8"/>
    <mergeCell ref="H8:I8"/>
    <mergeCell ref="J8:K8"/>
    <mergeCell ref="L8:M8"/>
    <mergeCell ref="D8:D9"/>
    <mergeCell ref="E8:E9"/>
    <mergeCell ref="N8:N9"/>
    <mergeCell ref="O8:O9"/>
    <mergeCell ref="P8:P9"/>
    <mergeCell ref="B6:P6"/>
    <mergeCell ref="B8:B9"/>
    <mergeCell ref="C8:C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B2:G11"/>
  <sheetViews>
    <sheetView showGridLines="0" zoomScale="74" zoomScaleNormal="74" zoomScalePageLayoutView="0" workbookViewId="0" topLeftCell="A3">
      <selection activeCell="F8" sqref="F8"/>
    </sheetView>
  </sheetViews>
  <sheetFormatPr defaultColWidth="9.140625" defaultRowHeight="15"/>
  <cols>
    <col min="2" max="2" width="13.57421875" style="0" customWidth="1"/>
    <col min="3" max="3" width="12.7109375" style="0" customWidth="1"/>
    <col min="4" max="4" width="11.7109375" style="0" customWidth="1"/>
    <col min="5" max="5" width="36.28125" style="0" customWidth="1"/>
    <col min="6" max="6" width="49.28125" style="5" customWidth="1"/>
    <col min="7" max="7" width="38.7109375" style="0" customWidth="1"/>
  </cols>
  <sheetData>
    <row r="2" s="5" customFormat="1" ht="15">
      <c r="G2" s="17" t="s">
        <v>278</v>
      </c>
    </row>
    <row r="3" s="5" customFormat="1" ht="14.25"/>
    <row r="4" spans="2:7" ht="15">
      <c r="B4" s="223" t="s">
        <v>25</v>
      </c>
      <c r="C4" s="223"/>
      <c r="D4" s="223"/>
      <c r="E4" s="223"/>
      <c r="F4" s="223"/>
      <c r="G4" s="223"/>
    </row>
    <row r="6" spans="2:7" ht="111.75" customHeight="1">
      <c r="B6" s="125" t="s">
        <v>6</v>
      </c>
      <c r="C6" s="125" t="s">
        <v>19</v>
      </c>
      <c r="D6" s="125" t="s">
        <v>26</v>
      </c>
      <c r="E6" s="126" t="s">
        <v>18</v>
      </c>
      <c r="F6" s="125" t="s">
        <v>5</v>
      </c>
      <c r="G6" s="125" t="s">
        <v>17</v>
      </c>
    </row>
    <row r="7" spans="2:7" ht="158.25" customHeight="1">
      <c r="B7" s="3" t="s">
        <v>14</v>
      </c>
      <c r="C7" s="15">
        <v>8747.5</v>
      </c>
      <c r="D7" s="15">
        <f>C7/6</f>
        <v>1457.9166666666667</v>
      </c>
      <c r="E7" s="70" t="s">
        <v>370</v>
      </c>
      <c r="F7" s="70" t="s">
        <v>371</v>
      </c>
      <c r="G7" s="70" t="s">
        <v>128</v>
      </c>
    </row>
    <row r="8" spans="2:7" ht="96" customHeight="1">
      <c r="B8" s="4" t="s">
        <v>15</v>
      </c>
      <c r="C8" s="16">
        <v>13970.64</v>
      </c>
      <c r="D8" s="16">
        <f>C8/12</f>
        <v>1164.22</v>
      </c>
      <c r="E8" s="163" t="s">
        <v>218</v>
      </c>
      <c r="F8" s="163" t="s">
        <v>217</v>
      </c>
      <c r="G8" s="163" t="s">
        <v>22</v>
      </c>
    </row>
    <row r="9" spans="2:7" ht="186" customHeight="1">
      <c r="B9" s="4" t="s">
        <v>20</v>
      </c>
      <c r="C9" s="16">
        <v>3684.5</v>
      </c>
      <c r="D9" s="16">
        <f>C9/12</f>
        <v>307.0416666666667</v>
      </c>
      <c r="E9" s="163" t="s">
        <v>127</v>
      </c>
      <c r="F9" s="70" t="s">
        <v>294</v>
      </c>
      <c r="G9" s="70" t="s">
        <v>126</v>
      </c>
    </row>
    <row r="10" spans="2:7" ht="78">
      <c r="B10" s="4" t="s">
        <v>21</v>
      </c>
      <c r="C10" s="16">
        <f>5401.44</f>
        <v>5401.44</v>
      </c>
      <c r="D10" s="16">
        <f>C10/12</f>
        <v>450.11999999999995</v>
      </c>
      <c r="E10" s="163" t="s">
        <v>383</v>
      </c>
      <c r="F10" s="70" t="s">
        <v>295</v>
      </c>
      <c r="G10" s="70" t="s">
        <v>372</v>
      </c>
    </row>
    <row r="11" spans="2:7" ht="15">
      <c r="B11" s="39" t="s">
        <v>24</v>
      </c>
      <c r="C11" s="19">
        <f>SUM(C7:C10)</f>
        <v>31804.079999999998</v>
      </c>
      <c r="D11" s="19">
        <f>SUM(D7:D10)</f>
        <v>3379.298333333333</v>
      </c>
      <c r="E11" s="20"/>
      <c r="F11" s="20"/>
      <c r="G11" s="20"/>
    </row>
  </sheetData>
  <sheetProtection/>
  <mergeCells count="1">
    <mergeCell ref="B4:G4"/>
  </mergeCells>
  <printOptions/>
  <pageMargins left="0.7" right="0.7" top="0.75" bottom="0.75" header="0.3" footer="0.3"/>
  <pageSetup fitToHeight="1"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B3:J53"/>
  <sheetViews>
    <sheetView showGridLines="0" zoomScale="75" zoomScaleNormal="75" zoomScalePageLayoutView="0" workbookViewId="0" topLeftCell="A21">
      <selection activeCell="G12" sqref="G12:G15"/>
    </sheetView>
  </sheetViews>
  <sheetFormatPr defaultColWidth="8.7109375" defaultRowHeight="15"/>
  <cols>
    <col min="1" max="1" width="8.7109375" style="5" customWidth="1"/>
    <col min="2" max="2" width="18.57421875" style="5" customWidth="1"/>
    <col min="3" max="3" width="29.421875" style="5" customWidth="1"/>
    <col min="4" max="4" width="27.00390625" style="5" customWidth="1"/>
    <col min="5" max="6" width="18.00390625" style="5" customWidth="1"/>
    <col min="7" max="7" width="61.7109375" style="5" customWidth="1"/>
    <col min="8" max="8" width="9.421875" style="5" customWidth="1"/>
    <col min="9" max="9" width="13.28125" style="5" customWidth="1"/>
    <col min="10" max="10" width="9.7109375" style="5" customWidth="1"/>
    <col min="11" max="11" width="13.421875" style="5" customWidth="1"/>
    <col min="12" max="16384" width="8.7109375" style="5" customWidth="1"/>
  </cols>
  <sheetData>
    <row r="3" spans="4:7" ht="15">
      <c r="D3" s="189" t="s">
        <v>277</v>
      </c>
      <c r="E3" s="189"/>
      <c r="F3" s="189"/>
      <c r="G3" s="189"/>
    </row>
    <row r="5" spans="2:10" ht="43.5" customHeight="1">
      <c r="B5" s="257" t="s">
        <v>114</v>
      </c>
      <c r="C5" s="257"/>
      <c r="D5" s="257"/>
      <c r="E5" s="257"/>
      <c r="F5" s="257"/>
      <c r="G5" s="257"/>
      <c r="H5" s="43"/>
      <c r="I5" s="43"/>
      <c r="J5" s="43"/>
    </row>
    <row r="7" spans="2:7" ht="54" customHeight="1">
      <c r="B7" s="127" t="s">
        <v>6</v>
      </c>
      <c r="C7" s="121" t="s">
        <v>67</v>
      </c>
      <c r="D7" s="121" t="s">
        <v>68</v>
      </c>
      <c r="E7" s="121" t="s">
        <v>66</v>
      </c>
      <c r="F7" s="121" t="s">
        <v>118</v>
      </c>
      <c r="G7" s="121" t="s">
        <v>71</v>
      </c>
    </row>
    <row r="8" spans="2:7" ht="15" hidden="1">
      <c r="B8" s="2">
        <v>1</v>
      </c>
      <c r="C8" s="26">
        <v>2</v>
      </c>
      <c r="D8" s="26">
        <v>3</v>
      </c>
      <c r="E8" s="26">
        <v>4</v>
      </c>
      <c r="F8" s="26">
        <v>5</v>
      </c>
      <c r="G8" s="26">
        <v>6</v>
      </c>
    </row>
    <row r="9" spans="2:7" ht="30.75" customHeight="1">
      <c r="B9" s="262" t="s">
        <v>13</v>
      </c>
      <c r="C9" s="259" t="s">
        <v>113</v>
      </c>
      <c r="D9" s="2" t="s">
        <v>86</v>
      </c>
      <c r="E9" s="23">
        <v>24.5</v>
      </c>
      <c r="F9" s="251">
        <v>24.99</v>
      </c>
      <c r="G9" s="254" t="s">
        <v>342</v>
      </c>
    </row>
    <row r="10" spans="2:7" ht="15">
      <c r="B10" s="263"/>
      <c r="C10" s="260"/>
      <c r="D10" s="2" t="s">
        <v>341</v>
      </c>
      <c r="E10" s="22">
        <v>26.89</v>
      </c>
      <c r="F10" s="252"/>
      <c r="G10" s="255"/>
    </row>
    <row r="11" spans="2:7" ht="24.75" customHeight="1">
      <c r="B11" s="264"/>
      <c r="C11" s="261"/>
      <c r="D11" s="2" t="s">
        <v>87</v>
      </c>
      <c r="E11" s="22">
        <v>24.99</v>
      </c>
      <c r="F11" s="253"/>
      <c r="G11" s="256"/>
    </row>
    <row r="12" spans="2:8" ht="30.75">
      <c r="B12" s="227" t="s">
        <v>34</v>
      </c>
      <c r="C12" s="41" t="s">
        <v>70</v>
      </c>
      <c r="D12" s="26" t="s">
        <v>69</v>
      </c>
      <c r="E12" s="22">
        <v>140</v>
      </c>
      <c r="F12" s="234">
        <v>186.08</v>
      </c>
      <c r="G12" s="224" t="s">
        <v>228</v>
      </c>
      <c r="H12" s="42"/>
    </row>
    <row r="13" spans="2:8" ht="93">
      <c r="B13" s="228"/>
      <c r="C13" s="21" t="s">
        <v>72</v>
      </c>
      <c r="D13" s="26" t="s">
        <v>115</v>
      </c>
      <c r="E13" s="23">
        <v>173.12</v>
      </c>
      <c r="F13" s="234"/>
      <c r="G13" s="224"/>
      <c r="H13" s="42"/>
    </row>
    <row r="14" spans="2:8" ht="135" customHeight="1">
      <c r="B14" s="228"/>
      <c r="C14" s="21" t="s">
        <v>117</v>
      </c>
      <c r="D14" s="227" t="s">
        <v>116</v>
      </c>
      <c r="E14" s="23">
        <f>80*2</f>
        <v>160</v>
      </c>
      <c r="F14" s="234"/>
      <c r="G14" s="224"/>
      <c r="H14" s="42"/>
    </row>
    <row r="15" spans="2:8" ht="83.25" customHeight="1">
      <c r="B15" s="229"/>
      <c r="C15" s="21" t="s">
        <v>73</v>
      </c>
      <c r="D15" s="229"/>
      <c r="E15" s="23">
        <v>140</v>
      </c>
      <c r="F15" s="234"/>
      <c r="G15" s="224"/>
      <c r="H15" s="42"/>
    </row>
    <row r="16" spans="2:8" ht="54.75" customHeight="1">
      <c r="B16" s="227" t="s">
        <v>216</v>
      </c>
      <c r="C16" s="231" t="s">
        <v>227</v>
      </c>
      <c r="D16" s="58" t="s">
        <v>222</v>
      </c>
      <c r="E16" s="77">
        <v>1.834</v>
      </c>
      <c r="F16" s="234">
        <v>43.46</v>
      </c>
      <c r="G16" s="224" t="s">
        <v>343</v>
      </c>
      <c r="H16" s="42"/>
    </row>
    <row r="17" spans="2:8" ht="54.75" customHeight="1">
      <c r="B17" s="228"/>
      <c r="C17" s="232"/>
      <c r="D17" s="58" t="s">
        <v>223</v>
      </c>
      <c r="E17" s="23">
        <v>1.824</v>
      </c>
      <c r="F17" s="235"/>
      <c r="G17" s="240"/>
      <c r="H17" s="42"/>
    </row>
    <row r="18" spans="2:8" ht="54.75" customHeight="1">
      <c r="B18" s="228"/>
      <c r="C18" s="232"/>
      <c r="D18" s="58" t="s">
        <v>224</v>
      </c>
      <c r="E18" s="23">
        <v>1.817</v>
      </c>
      <c r="F18" s="235"/>
      <c r="G18" s="240"/>
      <c r="H18" s="42"/>
    </row>
    <row r="19" spans="2:8" ht="43.5" customHeight="1">
      <c r="B19" s="228"/>
      <c r="C19" s="232"/>
      <c r="D19" s="58" t="s">
        <v>225</v>
      </c>
      <c r="E19" s="23">
        <v>1.757</v>
      </c>
      <c r="F19" s="235"/>
      <c r="G19" s="240"/>
      <c r="H19" s="42"/>
    </row>
    <row r="20" spans="2:8" ht="36.75" customHeight="1">
      <c r="B20" s="228"/>
      <c r="C20" s="232"/>
      <c r="D20" s="58" t="s">
        <v>226</v>
      </c>
      <c r="E20" s="23">
        <v>1.824</v>
      </c>
      <c r="F20" s="236"/>
      <c r="G20" s="241"/>
      <c r="H20" s="42"/>
    </row>
    <row r="21" spans="2:7" ht="62.25">
      <c r="B21" s="227" t="s">
        <v>38</v>
      </c>
      <c r="C21" s="21" t="s">
        <v>119</v>
      </c>
      <c r="D21" s="26" t="s">
        <v>74</v>
      </c>
      <c r="E21" s="22">
        <v>132</v>
      </c>
      <c r="F21" s="227">
        <v>160</v>
      </c>
      <c r="G21" s="224" t="s">
        <v>344</v>
      </c>
    </row>
    <row r="22" spans="2:7" ht="223.5" customHeight="1">
      <c r="B22" s="229"/>
      <c r="C22" s="21" t="s">
        <v>120</v>
      </c>
      <c r="D22" s="26" t="s">
        <v>121</v>
      </c>
      <c r="E22" s="22">
        <v>160</v>
      </c>
      <c r="F22" s="229"/>
      <c r="G22" s="241"/>
    </row>
    <row r="23" spans="2:7" ht="132" customHeight="1">
      <c r="B23" s="205" t="s">
        <v>14</v>
      </c>
      <c r="C23" s="227" t="s">
        <v>75</v>
      </c>
      <c r="D23" s="26" t="s">
        <v>76</v>
      </c>
      <c r="E23" s="23">
        <v>12</v>
      </c>
      <c r="F23" s="234">
        <v>12</v>
      </c>
      <c r="G23" s="224" t="s">
        <v>345</v>
      </c>
    </row>
    <row r="24" spans="2:7" ht="15">
      <c r="B24" s="258"/>
      <c r="C24" s="228"/>
      <c r="D24" s="2" t="s">
        <v>77</v>
      </c>
      <c r="E24" s="23">
        <v>10.89</v>
      </c>
      <c r="F24" s="235"/>
      <c r="G24" s="225"/>
    </row>
    <row r="25" spans="2:7" ht="24" customHeight="1">
      <c r="B25" s="258"/>
      <c r="C25" s="229"/>
      <c r="D25" s="2" t="s">
        <v>78</v>
      </c>
      <c r="E25" s="22">
        <v>14.52</v>
      </c>
      <c r="F25" s="236"/>
      <c r="G25" s="226"/>
    </row>
    <row r="26" spans="2:7" ht="46.5" customHeight="1">
      <c r="B26" s="258"/>
      <c r="C26" s="231" t="s">
        <v>79</v>
      </c>
      <c r="D26" s="2" t="s">
        <v>77</v>
      </c>
      <c r="E26" s="23">
        <v>24.2</v>
      </c>
      <c r="F26" s="234">
        <v>22.99</v>
      </c>
      <c r="G26" s="224" t="s">
        <v>125</v>
      </c>
    </row>
    <row r="27" spans="2:7" ht="15">
      <c r="B27" s="258"/>
      <c r="C27" s="232"/>
      <c r="D27" s="2" t="s">
        <v>80</v>
      </c>
      <c r="E27" s="22">
        <v>22.99</v>
      </c>
      <c r="F27" s="235"/>
      <c r="G27" s="225"/>
    </row>
    <row r="28" spans="2:7" ht="32.25" customHeight="1">
      <c r="B28" s="206"/>
      <c r="C28" s="233"/>
      <c r="D28" s="2" t="s">
        <v>78</v>
      </c>
      <c r="E28" s="22">
        <v>30.25</v>
      </c>
      <c r="F28" s="236"/>
      <c r="G28" s="226"/>
    </row>
    <row r="29" spans="2:7" ht="46.5" customHeight="1">
      <c r="B29" s="227" t="s">
        <v>20</v>
      </c>
      <c r="C29" s="231" t="s">
        <v>84</v>
      </c>
      <c r="D29" s="2" t="s">
        <v>81</v>
      </c>
      <c r="E29" s="23">
        <v>368.45</v>
      </c>
      <c r="F29" s="234">
        <f>E29</f>
        <v>368.45</v>
      </c>
      <c r="G29" s="237" t="s">
        <v>346</v>
      </c>
    </row>
    <row r="30" spans="2:7" ht="15">
      <c r="B30" s="228"/>
      <c r="C30" s="232"/>
      <c r="D30" s="2" t="s">
        <v>85</v>
      </c>
      <c r="E30" s="23">
        <v>343.46</v>
      </c>
      <c r="F30" s="235"/>
      <c r="G30" s="238"/>
    </row>
    <row r="31" spans="2:7" ht="15">
      <c r="B31" s="228"/>
      <c r="C31" s="232"/>
      <c r="D31" s="2" t="s">
        <v>82</v>
      </c>
      <c r="E31" s="22">
        <v>779.24</v>
      </c>
      <c r="F31" s="235"/>
      <c r="G31" s="238"/>
    </row>
    <row r="32" spans="2:7" ht="15">
      <c r="B32" s="229"/>
      <c r="C32" s="233"/>
      <c r="D32" s="2" t="s">
        <v>83</v>
      </c>
      <c r="E32" s="22">
        <v>799.66</v>
      </c>
      <c r="F32" s="236"/>
      <c r="G32" s="239"/>
    </row>
    <row r="33" spans="2:7" ht="46.5" customHeight="1">
      <c r="B33" s="227" t="s">
        <v>21</v>
      </c>
      <c r="C33" s="227" t="s">
        <v>89</v>
      </c>
      <c r="D33" s="2" t="s">
        <v>88</v>
      </c>
      <c r="E33" s="22">
        <f>14*1.21</f>
        <v>16.939999999999998</v>
      </c>
      <c r="F33" s="248">
        <v>14.52</v>
      </c>
      <c r="G33" s="224" t="s">
        <v>125</v>
      </c>
    </row>
    <row r="34" spans="2:7" ht="15">
      <c r="B34" s="228"/>
      <c r="C34" s="228"/>
      <c r="D34" s="2" t="s">
        <v>90</v>
      </c>
      <c r="E34" s="48">
        <f>12*1.21</f>
        <v>14.52</v>
      </c>
      <c r="F34" s="249"/>
      <c r="G34" s="225"/>
    </row>
    <row r="35" spans="2:7" ht="15">
      <c r="B35" s="229"/>
      <c r="C35" s="229"/>
      <c r="D35" s="2" t="s">
        <v>91</v>
      </c>
      <c r="E35" s="23">
        <f>12*1.21</f>
        <v>14.52</v>
      </c>
      <c r="F35" s="250"/>
      <c r="G35" s="226"/>
    </row>
    <row r="36" spans="2:7" ht="16.5" customHeight="1">
      <c r="B36" s="230" t="s">
        <v>53</v>
      </c>
      <c r="C36" s="228" t="s">
        <v>122</v>
      </c>
      <c r="D36" s="245" t="s">
        <v>92</v>
      </c>
      <c r="E36" s="245"/>
      <c r="F36" s="242">
        <f>AVERAGE(E36:E52)</f>
        <v>16.204050000000002</v>
      </c>
      <c r="G36" s="247" t="s">
        <v>123</v>
      </c>
    </row>
    <row r="37" spans="2:7" ht="15">
      <c r="B37" s="230"/>
      <c r="C37" s="228"/>
      <c r="D37" s="2" t="s">
        <v>102</v>
      </c>
      <c r="E37" s="23">
        <f>14.23*1.21</f>
        <v>17.2183</v>
      </c>
      <c r="F37" s="243"/>
      <c r="G37" s="247"/>
    </row>
    <row r="38" spans="2:7" ht="15">
      <c r="B38" s="230"/>
      <c r="C38" s="228"/>
      <c r="D38" s="2" t="s">
        <v>104</v>
      </c>
      <c r="E38" s="23">
        <v>14.23</v>
      </c>
      <c r="F38" s="243"/>
      <c r="G38" s="247"/>
    </row>
    <row r="39" spans="2:7" ht="15">
      <c r="B39" s="230"/>
      <c r="C39" s="228"/>
      <c r="D39" s="2" t="s">
        <v>103</v>
      </c>
      <c r="E39" s="23">
        <v>16</v>
      </c>
      <c r="F39" s="243"/>
      <c r="G39" s="247"/>
    </row>
    <row r="40" spans="2:7" ht="15">
      <c r="B40" s="230"/>
      <c r="C40" s="228"/>
      <c r="D40" s="2" t="s">
        <v>101</v>
      </c>
      <c r="E40" s="23">
        <f>14.66*1.21</f>
        <v>17.738599999999998</v>
      </c>
      <c r="F40" s="243"/>
      <c r="G40" s="247"/>
    </row>
    <row r="41" spans="2:7" ht="15">
      <c r="B41" s="230"/>
      <c r="C41" s="228"/>
      <c r="D41" s="2" t="s">
        <v>105</v>
      </c>
      <c r="E41" s="23">
        <v>16</v>
      </c>
      <c r="F41" s="243"/>
      <c r="G41" s="247"/>
    </row>
    <row r="42" spans="2:7" ht="15">
      <c r="B42" s="230"/>
      <c r="C42" s="228"/>
      <c r="D42" s="2" t="s">
        <v>106</v>
      </c>
      <c r="E42" s="22">
        <v>15.98</v>
      </c>
      <c r="F42" s="243"/>
      <c r="G42" s="247"/>
    </row>
    <row r="43" spans="2:7" ht="15">
      <c r="B43" s="230"/>
      <c r="C43" s="228"/>
      <c r="D43" s="246" t="s">
        <v>93</v>
      </c>
      <c r="E43" s="246"/>
      <c r="F43" s="243"/>
      <c r="G43" s="247"/>
    </row>
    <row r="44" spans="2:7" ht="30.75">
      <c r="B44" s="230"/>
      <c r="C44" s="228"/>
      <c r="D44" s="26" t="s">
        <v>95</v>
      </c>
      <c r="E44" s="22">
        <v>19.01</v>
      </c>
      <c r="F44" s="243"/>
      <c r="G44" s="247"/>
    </row>
    <row r="45" spans="2:7" ht="15">
      <c r="B45" s="230"/>
      <c r="C45" s="228"/>
      <c r="D45" s="26" t="s">
        <v>99</v>
      </c>
      <c r="E45" s="22">
        <f>12*1.21</f>
        <v>14.52</v>
      </c>
      <c r="F45" s="243"/>
      <c r="G45" s="247"/>
    </row>
    <row r="46" spans="2:7" ht="15">
      <c r="B46" s="230"/>
      <c r="C46" s="228"/>
      <c r="D46" s="26" t="s">
        <v>96</v>
      </c>
      <c r="E46" s="23">
        <v>24.2</v>
      </c>
      <c r="F46" s="243"/>
      <c r="G46" s="247"/>
    </row>
    <row r="47" spans="2:7" ht="15">
      <c r="B47" s="230"/>
      <c r="C47" s="228"/>
      <c r="D47" s="26" t="s">
        <v>97</v>
      </c>
      <c r="E47" s="22">
        <v>18.15</v>
      </c>
      <c r="F47" s="243"/>
      <c r="G47" s="247"/>
    </row>
    <row r="48" spans="2:7" ht="15">
      <c r="B48" s="230"/>
      <c r="C48" s="228"/>
      <c r="D48" s="26" t="s">
        <v>98</v>
      </c>
      <c r="E48" s="22">
        <v>8.47</v>
      </c>
      <c r="F48" s="243"/>
      <c r="G48" s="247"/>
    </row>
    <row r="49" spans="2:7" ht="30.75">
      <c r="B49" s="230"/>
      <c r="C49" s="228"/>
      <c r="D49" s="26" t="s">
        <v>108</v>
      </c>
      <c r="E49" s="23">
        <v>13.7698</v>
      </c>
      <c r="F49" s="243"/>
      <c r="G49" s="247"/>
    </row>
    <row r="50" spans="2:7" ht="15">
      <c r="B50" s="230"/>
      <c r="C50" s="228"/>
      <c r="D50" s="246" t="s">
        <v>94</v>
      </c>
      <c r="E50" s="246"/>
      <c r="F50" s="243"/>
      <c r="G50" s="247"/>
    </row>
    <row r="51" spans="2:7" ht="15">
      <c r="B51" s="230"/>
      <c r="C51" s="228"/>
      <c r="D51" s="2" t="s">
        <v>107</v>
      </c>
      <c r="E51" s="23">
        <v>11</v>
      </c>
      <c r="F51" s="243"/>
      <c r="G51" s="247"/>
    </row>
    <row r="52" spans="2:7" ht="15">
      <c r="B52" s="230"/>
      <c r="C52" s="229"/>
      <c r="D52" s="26" t="s">
        <v>100</v>
      </c>
      <c r="E52" s="23">
        <v>20.57</v>
      </c>
      <c r="F52" s="244"/>
      <c r="G52" s="247"/>
    </row>
    <row r="53" ht="14.25">
      <c r="E53" s="28"/>
    </row>
  </sheetData>
  <sheetProtection/>
  <mergeCells count="39">
    <mergeCell ref="C23:C25"/>
    <mergeCell ref="C26:C28"/>
    <mergeCell ref="D3:G3"/>
    <mergeCell ref="B5:G5"/>
    <mergeCell ref="B23:B28"/>
    <mergeCell ref="F26:F28"/>
    <mergeCell ref="G23:G25"/>
    <mergeCell ref="G26:G28"/>
    <mergeCell ref="C9:C11"/>
    <mergeCell ref="B9:B11"/>
    <mergeCell ref="F9:F11"/>
    <mergeCell ref="G9:G11"/>
    <mergeCell ref="F12:F15"/>
    <mergeCell ref="G12:G15"/>
    <mergeCell ref="B12:B15"/>
    <mergeCell ref="B21:B22"/>
    <mergeCell ref="B16:B20"/>
    <mergeCell ref="C16:C20"/>
    <mergeCell ref="D14:D15"/>
    <mergeCell ref="F16:F20"/>
    <mergeCell ref="G16:G20"/>
    <mergeCell ref="F36:F52"/>
    <mergeCell ref="D36:E36"/>
    <mergeCell ref="D43:E43"/>
    <mergeCell ref="D50:E50"/>
    <mergeCell ref="G36:G52"/>
    <mergeCell ref="F21:F22"/>
    <mergeCell ref="G21:G22"/>
    <mergeCell ref="F23:F25"/>
    <mergeCell ref="F33:F35"/>
    <mergeCell ref="G33:G35"/>
    <mergeCell ref="B33:B35"/>
    <mergeCell ref="C33:C35"/>
    <mergeCell ref="B36:B52"/>
    <mergeCell ref="C29:C32"/>
    <mergeCell ref="F29:F32"/>
    <mergeCell ref="G29:G32"/>
    <mergeCell ref="B29:B32"/>
    <mergeCell ref="C36:C52"/>
  </mergeCells>
  <printOptions/>
  <pageMargins left="0.7" right="0.7" top="0.75" bottom="0.75" header="0.3" footer="0.3"/>
  <pageSetup fitToHeight="1" fitToWidth="1"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sheetPr>
    <pageSetUpPr fitToPage="1"/>
  </sheetPr>
  <dimension ref="B3:J47"/>
  <sheetViews>
    <sheetView showGridLines="0" zoomScale="78" zoomScaleNormal="78" zoomScalePageLayoutView="0" workbookViewId="0" topLeftCell="A43">
      <selection activeCell="C45" sqref="C45:F45"/>
    </sheetView>
  </sheetViews>
  <sheetFormatPr defaultColWidth="8.7109375" defaultRowHeight="15"/>
  <cols>
    <col min="1" max="1" width="8.7109375" style="5" customWidth="1"/>
    <col min="2" max="2" width="61.421875" style="5" customWidth="1"/>
    <col min="3" max="5" width="13.00390625" style="5" customWidth="1"/>
    <col min="6" max="6" width="29.421875" style="5" customWidth="1"/>
    <col min="7" max="7" width="9.421875" style="5" customWidth="1"/>
    <col min="8" max="8" width="13.28125" style="5" customWidth="1"/>
    <col min="9" max="9" width="9.7109375" style="5" customWidth="1"/>
    <col min="10" max="10" width="13.421875" style="5" customWidth="1"/>
    <col min="11" max="16384" width="8.7109375" style="5" customWidth="1"/>
  </cols>
  <sheetData>
    <row r="3" ht="15">
      <c r="F3" s="32" t="s">
        <v>276</v>
      </c>
    </row>
    <row r="5" spans="2:9" ht="26.25" customHeight="1">
      <c r="B5" s="192" t="s">
        <v>124</v>
      </c>
      <c r="C5" s="192"/>
      <c r="D5" s="192"/>
      <c r="E5" s="192"/>
      <c r="F5" s="192"/>
      <c r="G5" s="43"/>
      <c r="H5" s="43"/>
      <c r="I5" s="43"/>
    </row>
    <row r="7" spans="2:6" ht="34.5" customHeight="1">
      <c r="B7" s="127" t="s">
        <v>110</v>
      </c>
      <c r="C7" s="127" t="s">
        <v>153</v>
      </c>
      <c r="D7" s="127" t="s">
        <v>193</v>
      </c>
      <c r="E7" s="127" t="s">
        <v>154</v>
      </c>
      <c r="F7" s="121" t="s">
        <v>160</v>
      </c>
    </row>
    <row r="8" spans="2:6" ht="15" hidden="1">
      <c r="B8" s="2">
        <v>1</v>
      </c>
      <c r="C8" s="55">
        <v>2</v>
      </c>
      <c r="D8" s="55">
        <v>3</v>
      </c>
      <c r="E8" s="55">
        <v>4</v>
      </c>
      <c r="F8" s="26">
        <v>5</v>
      </c>
    </row>
    <row r="9" spans="2:6" ht="15">
      <c r="B9" s="270" t="s">
        <v>182</v>
      </c>
      <c r="C9" s="271"/>
      <c r="D9" s="271"/>
      <c r="E9" s="271"/>
      <c r="F9" s="271"/>
    </row>
    <row r="10" spans="2:6" ht="15">
      <c r="B10" s="268" t="s">
        <v>175</v>
      </c>
      <c r="C10" s="269"/>
      <c r="D10" s="269"/>
      <c r="E10" s="269"/>
      <c r="F10" s="269"/>
    </row>
    <row r="11" spans="2:6" ht="15">
      <c r="B11" s="59" t="s">
        <v>189</v>
      </c>
      <c r="C11" s="55" t="s">
        <v>159</v>
      </c>
      <c r="D11" s="55">
        <v>6</v>
      </c>
      <c r="E11" s="55">
        <v>1</v>
      </c>
      <c r="F11" s="47">
        <f>D11*E11</f>
        <v>6</v>
      </c>
    </row>
    <row r="12" spans="2:6" ht="30.75">
      <c r="B12" s="21" t="s">
        <v>158</v>
      </c>
      <c r="C12" s="55" t="s">
        <v>155</v>
      </c>
      <c r="D12" s="55">
        <v>11.9</v>
      </c>
      <c r="E12" s="55">
        <v>1</v>
      </c>
      <c r="F12" s="47">
        <f aca="true" t="shared" si="0" ref="F12:F18">D12*E12</f>
        <v>11.9</v>
      </c>
    </row>
    <row r="13" spans="2:6" ht="46.5">
      <c r="B13" s="21" t="s">
        <v>157</v>
      </c>
      <c r="C13" s="55" t="s">
        <v>155</v>
      </c>
      <c r="D13" s="55">
        <v>17.6</v>
      </c>
      <c r="E13" s="55">
        <v>1</v>
      </c>
      <c r="F13" s="47">
        <f t="shared" si="0"/>
        <v>17.6</v>
      </c>
    </row>
    <row r="14" spans="2:6" ht="15">
      <c r="B14" s="265" t="s">
        <v>170</v>
      </c>
      <c r="C14" s="266"/>
      <c r="D14" s="266"/>
      <c r="E14" s="267"/>
      <c r="F14" s="61">
        <f>SUM(F11:F13)</f>
        <v>35.5</v>
      </c>
    </row>
    <row r="15" spans="2:6" ht="15" customHeight="1">
      <c r="B15" s="265" t="s">
        <v>178</v>
      </c>
      <c r="C15" s="266"/>
      <c r="D15" s="266"/>
      <c r="E15" s="267"/>
      <c r="F15" s="63">
        <f>F14/2</f>
        <v>17.75</v>
      </c>
    </row>
    <row r="16" spans="2:6" ht="15">
      <c r="B16" s="278" t="s">
        <v>176</v>
      </c>
      <c r="C16" s="279"/>
      <c r="D16" s="279"/>
      <c r="E16" s="279"/>
      <c r="F16" s="279"/>
    </row>
    <row r="17" spans="2:6" ht="15">
      <c r="B17" s="59" t="s">
        <v>166</v>
      </c>
      <c r="C17" s="55" t="s">
        <v>161</v>
      </c>
      <c r="D17" s="55">
        <v>10</v>
      </c>
      <c r="E17" s="55">
        <v>4</v>
      </c>
      <c r="F17" s="47">
        <f t="shared" si="0"/>
        <v>40</v>
      </c>
    </row>
    <row r="18" spans="2:6" ht="15">
      <c r="B18" s="59" t="s">
        <v>190</v>
      </c>
      <c r="C18" s="60" t="s">
        <v>163</v>
      </c>
      <c r="D18" s="55">
        <v>1.5</v>
      </c>
      <c r="E18" s="55">
        <v>8</v>
      </c>
      <c r="F18" s="47">
        <f t="shared" si="0"/>
        <v>12</v>
      </c>
    </row>
    <row r="19" spans="2:6" ht="15">
      <c r="B19" s="59" t="s">
        <v>168</v>
      </c>
      <c r="C19" s="60" t="s">
        <v>163</v>
      </c>
      <c r="D19" s="55">
        <v>1.5</v>
      </c>
      <c r="E19" s="55">
        <v>8</v>
      </c>
      <c r="F19" s="47">
        <f aca="true" t="shared" si="1" ref="F19:F26">D19*E19</f>
        <v>12</v>
      </c>
    </row>
    <row r="20" spans="2:6" ht="15">
      <c r="B20" s="59" t="s">
        <v>169</v>
      </c>
      <c r="C20" s="60" t="s">
        <v>163</v>
      </c>
      <c r="D20" s="55">
        <v>1.5</v>
      </c>
      <c r="E20" s="55">
        <v>8</v>
      </c>
      <c r="F20" s="47">
        <f t="shared" si="1"/>
        <v>12</v>
      </c>
    </row>
    <row r="21" spans="2:6" ht="15">
      <c r="B21" s="59" t="s">
        <v>156</v>
      </c>
      <c r="C21" s="60" t="s">
        <v>161</v>
      </c>
      <c r="D21" s="55">
        <v>6.6</v>
      </c>
      <c r="E21" s="55">
        <v>4</v>
      </c>
      <c r="F21" s="47">
        <f t="shared" si="1"/>
        <v>26.4</v>
      </c>
    </row>
    <row r="22" spans="2:6" ht="15">
      <c r="B22" s="59" t="s">
        <v>162</v>
      </c>
      <c r="C22" s="55" t="s">
        <v>163</v>
      </c>
      <c r="D22" s="55">
        <v>5</v>
      </c>
      <c r="E22" s="55">
        <v>8</v>
      </c>
      <c r="F22" s="47">
        <f t="shared" si="1"/>
        <v>40</v>
      </c>
    </row>
    <row r="23" spans="2:6" ht="15">
      <c r="B23" s="59" t="s">
        <v>187</v>
      </c>
      <c r="C23" s="55" t="s">
        <v>163</v>
      </c>
      <c r="D23" s="55">
        <v>2.69</v>
      </c>
      <c r="E23" s="55">
        <v>8</v>
      </c>
      <c r="F23" s="47">
        <f t="shared" si="1"/>
        <v>21.52</v>
      </c>
    </row>
    <row r="24" spans="2:6" ht="15">
      <c r="B24" s="59" t="s">
        <v>188</v>
      </c>
      <c r="C24" s="55" t="s">
        <v>163</v>
      </c>
      <c r="D24" s="55">
        <v>0.9</v>
      </c>
      <c r="E24" s="55">
        <v>4</v>
      </c>
      <c r="F24" s="47">
        <f t="shared" si="1"/>
        <v>3.6</v>
      </c>
    </row>
    <row r="25" spans="2:6" ht="15">
      <c r="B25" s="59" t="s">
        <v>164</v>
      </c>
      <c r="C25" s="55" t="s">
        <v>163</v>
      </c>
      <c r="D25" s="55">
        <v>0.5</v>
      </c>
      <c r="E25" s="55">
        <v>6</v>
      </c>
      <c r="F25" s="47">
        <f t="shared" si="1"/>
        <v>3</v>
      </c>
    </row>
    <row r="26" spans="2:6" ht="15">
      <c r="B26" s="59" t="s">
        <v>165</v>
      </c>
      <c r="C26" s="55" t="s">
        <v>163</v>
      </c>
      <c r="D26" s="55">
        <v>3</v>
      </c>
      <c r="E26" s="55">
        <v>3.5</v>
      </c>
      <c r="F26" s="47">
        <f t="shared" si="1"/>
        <v>10.5</v>
      </c>
    </row>
    <row r="27" spans="2:6" ht="15">
      <c r="B27" s="265" t="s">
        <v>167</v>
      </c>
      <c r="C27" s="266"/>
      <c r="D27" s="266"/>
      <c r="E27" s="267"/>
      <c r="F27" s="64">
        <f>SUM(F17:F26)</f>
        <v>181.02</v>
      </c>
    </row>
    <row r="28" spans="2:6" ht="15">
      <c r="B28" s="265" t="s">
        <v>178</v>
      </c>
      <c r="C28" s="266"/>
      <c r="D28" s="266"/>
      <c r="E28" s="267"/>
      <c r="F28" s="64">
        <f>F27/8</f>
        <v>22.6275</v>
      </c>
    </row>
    <row r="29" spans="2:6" ht="15">
      <c r="B29" s="275" t="s">
        <v>183</v>
      </c>
      <c r="C29" s="276"/>
      <c r="D29" s="276"/>
      <c r="E29" s="277"/>
      <c r="F29" s="62">
        <f>F14/2+F27/8</f>
        <v>40.3775</v>
      </c>
    </row>
    <row r="30" spans="2:6" ht="15">
      <c r="B30" s="270" t="s">
        <v>180</v>
      </c>
      <c r="C30" s="271"/>
      <c r="D30" s="271"/>
      <c r="E30" s="271"/>
      <c r="F30" s="271"/>
    </row>
    <row r="31" spans="2:6" ht="15">
      <c r="B31" s="268" t="s">
        <v>175</v>
      </c>
      <c r="C31" s="269"/>
      <c r="D31" s="269"/>
      <c r="E31" s="269"/>
      <c r="F31" s="269"/>
    </row>
    <row r="32" spans="2:6" ht="15">
      <c r="B32" s="59" t="s">
        <v>172</v>
      </c>
      <c r="C32" s="55" t="s">
        <v>163</v>
      </c>
      <c r="D32" s="55">
        <v>2.2</v>
      </c>
      <c r="E32" s="55">
        <v>16</v>
      </c>
      <c r="F32" s="47">
        <f>D32*E32</f>
        <v>35.2</v>
      </c>
    </row>
    <row r="33" spans="2:6" ht="15">
      <c r="B33" s="59" t="s">
        <v>171</v>
      </c>
      <c r="C33" s="55" t="s">
        <v>163</v>
      </c>
      <c r="D33" s="55">
        <v>1.25</v>
      </c>
      <c r="E33" s="55">
        <v>48</v>
      </c>
      <c r="F33" s="47">
        <f>D33*E33</f>
        <v>60</v>
      </c>
    </row>
    <row r="34" spans="2:6" ht="15">
      <c r="B34" s="59" t="s">
        <v>173</v>
      </c>
      <c r="C34" s="55" t="s">
        <v>163</v>
      </c>
      <c r="D34" s="55">
        <v>0.7</v>
      </c>
      <c r="E34" s="55">
        <v>60</v>
      </c>
      <c r="F34" s="47">
        <f>D34*E34</f>
        <v>42</v>
      </c>
    </row>
    <row r="35" spans="2:6" ht="15">
      <c r="B35" s="59" t="s">
        <v>109</v>
      </c>
      <c r="C35" s="55" t="s">
        <v>163</v>
      </c>
      <c r="D35" s="55">
        <v>1</v>
      </c>
      <c r="E35" s="55">
        <v>60</v>
      </c>
      <c r="F35" s="47">
        <f>D35*E35</f>
        <v>60</v>
      </c>
    </row>
    <row r="36" spans="2:6" ht="15">
      <c r="B36" s="59" t="s">
        <v>174</v>
      </c>
      <c r="C36" s="55" t="s">
        <v>163</v>
      </c>
      <c r="D36" s="55">
        <v>5</v>
      </c>
      <c r="E36" s="55">
        <v>1</v>
      </c>
      <c r="F36" s="47">
        <f>D36*E36</f>
        <v>5</v>
      </c>
    </row>
    <row r="37" spans="2:6" ht="15">
      <c r="B37" s="265" t="s">
        <v>170</v>
      </c>
      <c r="C37" s="266"/>
      <c r="D37" s="266"/>
      <c r="E37" s="267"/>
      <c r="F37" s="47">
        <f>SUM(F32:F36)</f>
        <v>202.2</v>
      </c>
    </row>
    <row r="38" spans="2:6" ht="15">
      <c r="B38" s="272" t="s">
        <v>181</v>
      </c>
      <c r="C38" s="273"/>
      <c r="D38" s="273"/>
      <c r="E38" s="274"/>
      <c r="F38" s="62">
        <f>F37/2</f>
        <v>101.1</v>
      </c>
    </row>
    <row r="39" spans="2:6" ht="15" customHeight="1">
      <c r="B39" s="65" t="s">
        <v>184</v>
      </c>
      <c r="C39" s="66"/>
      <c r="D39" s="66"/>
      <c r="E39" s="66"/>
      <c r="F39" s="45">
        <f>(F29+F38)/2</f>
        <v>70.73875</v>
      </c>
    </row>
    <row r="43" spans="2:6" ht="95.25" customHeight="1">
      <c r="B43" s="158" t="s">
        <v>177</v>
      </c>
      <c r="C43" s="185" t="s">
        <v>347</v>
      </c>
      <c r="D43" s="185"/>
      <c r="E43" s="185"/>
      <c r="F43" s="185"/>
    </row>
    <row r="44" spans="2:10" ht="81.75" customHeight="1">
      <c r="B44" s="158" t="s">
        <v>179</v>
      </c>
      <c r="C44" s="185" t="s">
        <v>191</v>
      </c>
      <c r="D44" s="185"/>
      <c r="E44" s="185"/>
      <c r="F44" s="185"/>
      <c r="G44" s="43"/>
      <c r="H44" s="43"/>
      <c r="I44" s="43"/>
      <c r="J44" s="43"/>
    </row>
    <row r="45" spans="2:6" ht="60" customHeight="1">
      <c r="B45" s="158" t="s">
        <v>185</v>
      </c>
      <c r="C45" s="185" t="s">
        <v>348</v>
      </c>
      <c r="D45" s="185"/>
      <c r="E45" s="185"/>
      <c r="F45" s="185"/>
    </row>
    <row r="46" spans="2:6" ht="64.5" customHeight="1">
      <c r="B46" s="158" t="s">
        <v>186</v>
      </c>
      <c r="C46" s="185" t="s">
        <v>349</v>
      </c>
      <c r="D46" s="185"/>
      <c r="E46" s="185"/>
      <c r="F46" s="185"/>
    </row>
    <row r="47" spans="2:6" ht="42" customHeight="1">
      <c r="B47" s="158" t="s">
        <v>192</v>
      </c>
      <c r="C47" s="185" t="s">
        <v>243</v>
      </c>
      <c r="D47" s="185"/>
      <c r="E47" s="185"/>
      <c r="F47" s="185"/>
    </row>
  </sheetData>
  <sheetProtection/>
  <mergeCells count="18">
    <mergeCell ref="B5:F5"/>
    <mergeCell ref="C46:F46"/>
    <mergeCell ref="C47:F47"/>
    <mergeCell ref="B9:F9"/>
    <mergeCell ref="B14:E14"/>
    <mergeCell ref="B15:E15"/>
    <mergeCell ref="B16:F16"/>
    <mergeCell ref="B10:F10"/>
    <mergeCell ref="C45:F45"/>
    <mergeCell ref="C44:F44"/>
    <mergeCell ref="B27:E27"/>
    <mergeCell ref="C43:F43"/>
    <mergeCell ref="B31:F31"/>
    <mergeCell ref="B30:F30"/>
    <mergeCell ref="B37:E37"/>
    <mergeCell ref="B38:E38"/>
    <mergeCell ref="B28:E28"/>
    <mergeCell ref="B29:E29"/>
  </mergeCells>
  <printOptions/>
  <pageMargins left="0.7" right="0.7" top="0.75" bottom="0.75" header="0.3" footer="0.3"/>
  <pageSetup fitToHeight="0" fitToWidth="1" horizontalDpi="600" verticalDpi="600" orientation="portrait"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B2:O16"/>
  <sheetViews>
    <sheetView showGridLines="0" zoomScale="64" zoomScaleNormal="64" zoomScalePageLayoutView="0" workbookViewId="0" topLeftCell="A5">
      <selection activeCell="I9" sqref="I9"/>
    </sheetView>
  </sheetViews>
  <sheetFormatPr defaultColWidth="9.140625" defaultRowHeight="15"/>
  <cols>
    <col min="2" max="2" width="29.00390625" style="0" customWidth="1"/>
    <col min="3" max="3" width="13.57421875" style="5" customWidth="1"/>
    <col min="4" max="4" width="16.00390625" style="5" customWidth="1"/>
    <col min="5" max="5" width="15.57421875" style="0" customWidth="1"/>
    <col min="6" max="6" width="10.7109375" style="0" customWidth="1"/>
    <col min="7" max="7" width="12.00390625" style="0" customWidth="1"/>
    <col min="8" max="8" width="49.28125" style="0" customWidth="1"/>
    <col min="9" max="9" width="40.421875" style="0" customWidth="1"/>
  </cols>
  <sheetData>
    <row r="2" spans="5:11" ht="15">
      <c r="E2" s="14"/>
      <c r="F2" s="14"/>
      <c r="G2" s="14"/>
      <c r="H2" s="189" t="s">
        <v>275</v>
      </c>
      <c r="I2" s="189"/>
      <c r="J2" s="14"/>
      <c r="K2" s="14"/>
    </row>
    <row r="3" spans="5:13" ht="15">
      <c r="E3" s="14"/>
      <c r="F3" s="14"/>
      <c r="G3" s="14"/>
      <c r="H3" s="14"/>
      <c r="I3" s="14"/>
      <c r="J3" s="14"/>
      <c r="K3" s="14"/>
      <c r="L3" s="14"/>
      <c r="M3" s="14"/>
    </row>
    <row r="4" spans="2:13" ht="15" customHeight="1">
      <c r="B4" s="192" t="s">
        <v>231</v>
      </c>
      <c r="C4" s="192"/>
      <c r="D4" s="192"/>
      <c r="E4" s="192"/>
      <c r="F4" s="192"/>
      <c r="G4" s="192"/>
      <c r="H4" s="192"/>
      <c r="I4" s="192"/>
      <c r="J4" s="43"/>
      <c r="K4" s="43"/>
      <c r="L4" s="43"/>
      <c r="M4" s="14"/>
    </row>
    <row r="5" spans="5:13" ht="15">
      <c r="E5" s="14"/>
      <c r="F5" s="14"/>
      <c r="G5" s="14"/>
      <c r="H5" s="14"/>
      <c r="I5" s="14"/>
      <c r="J5" s="14"/>
      <c r="K5" s="14"/>
      <c r="L5" s="14"/>
      <c r="M5" s="14"/>
    </row>
    <row r="6" spans="2:9" s="5" customFormat="1" ht="48.75" customHeight="1">
      <c r="B6" s="280" t="s">
        <v>6</v>
      </c>
      <c r="C6" s="281" t="s">
        <v>232</v>
      </c>
      <c r="D6" s="281" t="s">
        <v>233</v>
      </c>
      <c r="E6" s="281" t="s">
        <v>194</v>
      </c>
      <c r="F6" s="281" t="s">
        <v>195</v>
      </c>
      <c r="G6" s="281" t="s">
        <v>11</v>
      </c>
      <c r="H6" s="280" t="s">
        <v>5</v>
      </c>
      <c r="I6" s="280" t="s">
        <v>17</v>
      </c>
    </row>
    <row r="7" spans="2:9" ht="14.25">
      <c r="B7" s="280"/>
      <c r="C7" s="282"/>
      <c r="D7" s="282"/>
      <c r="E7" s="283"/>
      <c r="F7" s="283"/>
      <c r="G7" s="282"/>
      <c r="H7" s="280"/>
      <c r="I7" s="280"/>
    </row>
    <row r="8" spans="2:9" ht="180" customHeight="1">
      <c r="B8" s="13" t="s">
        <v>200</v>
      </c>
      <c r="C8" s="84">
        <f>G8/D8</f>
        <v>600</v>
      </c>
      <c r="D8" s="83">
        <v>20</v>
      </c>
      <c r="E8" s="85">
        <v>3000</v>
      </c>
      <c r="F8" s="85">
        <v>4</v>
      </c>
      <c r="G8" s="85">
        <f>E8*F8</f>
        <v>12000</v>
      </c>
      <c r="H8" s="72" t="s">
        <v>245</v>
      </c>
      <c r="I8" s="46" t="s">
        <v>214</v>
      </c>
    </row>
    <row r="9" spans="2:9" ht="202.5">
      <c r="B9" s="68" t="s">
        <v>14</v>
      </c>
      <c r="C9" s="84">
        <f>G9/D9</f>
        <v>96</v>
      </c>
      <c r="D9" s="103">
        <v>20</v>
      </c>
      <c r="E9" s="85">
        <f>24*4*5</f>
        <v>480</v>
      </c>
      <c r="F9" s="85">
        <v>4</v>
      </c>
      <c r="G9" s="85">
        <f>E9*F9</f>
        <v>1920</v>
      </c>
      <c r="H9" s="73" t="s">
        <v>378</v>
      </c>
      <c r="I9" s="70" t="s">
        <v>197</v>
      </c>
    </row>
    <row r="10" spans="2:9" ht="124.5">
      <c r="B10" s="13" t="s">
        <v>198</v>
      </c>
      <c r="C10" s="84">
        <f>G10/D10</f>
        <v>55.852</v>
      </c>
      <c r="D10" s="83">
        <v>20</v>
      </c>
      <c r="E10" s="85">
        <v>279.26</v>
      </c>
      <c r="F10" s="85">
        <v>4</v>
      </c>
      <c r="G10" s="85">
        <f>E10*F10</f>
        <v>1117.04</v>
      </c>
      <c r="H10" s="73" t="s">
        <v>373</v>
      </c>
      <c r="I10" s="69" t="s">
        <v>236</v>
      </c>
    </row>
    <row r="11" spans="2:9" s="5" customFormat="1" ht="202.5">
      <c r="B11" s="13" t="s">
        <v>199</v>
      </c>
      <c r="C11" s="84">
        <f>G11/D11</f>
        <v>172.8</v>
      </c>
      <c r="D11" s="83">
        <v>20</v>
      </c>
      <c r="E11" s="85">
        <v>864</v>
      </c>
      <c r="F11" s="85">
        <v>4</v>
      </c>
      <c r="G11" s="85">
        <v>3456</v>
      </c>
      <c r="H11" s="73" t="s">
        <v>374</v>
      </c>
      <c r="I11" s="69" t="s">
        <v>235</v>
      </c>
    </row>
    <row r="12" spans="2:9" s="5" customFormat="1" ht="205.5" customHeight="1">
      <c r="B12" s="13" t="s">
        <v>196</v>
      </c>
      <c r="C12" s="84">
        <f>G12/20</f>
        <v>30</v>
      </c>
      <c r="D12" s="83">
        <v>20</v>
      </c>
      <c r="E12" s="85">
        <f>G12/4</f>
        <v>150</v>
      </c>
      <c r="F12" s="85">
        <v>4</v>
      </c>
      <c r="G12" s="85">
        <f>20*5*3*2</f>
        <v>600</v>
      </c>
      <c r="H12" s="73" t="s">
        <v>375</v>
      </c>
      <c r="I12" s="71"/>
    </row>
    <row r="13" spans="2:9" s="5" customFormat="1" ht="232.5" customHeight="1">
      <c r="B13" s="13" t="s">
        <v>234</v>
      </c>
      <c r="C13" s="104">
        <f>305.2/20</f>
        <v>15.26</v>
      </c>
      <c r="D13" s="105">
        <v>20</v>
      </c>
      <c r="E13" s="106">
        <f>G13/F13</f>
        <v>76.3</v>
      </c>
      <c r="F13" s="107">
        <v>4</v>
      </c>
      <c r="G13" s="107">
        <v>305.2</v>
      </c>
      <c r="H13" s="73" t="s">
        <v>376</v>
      </c>
      <c r="I13" s="69" t="s">
        <v>377</v>
      </c>
    </row>
    <row r="14" spans="2:9" s="5" customFormat="1" ht="258" customHeight="1">
      <c r="B14" s="44" t="s">
        <v>247</v>
      </c>
      <c r="C14" s="113">
        <f>17.5*0.4</f>
        <v>7</v>
      </c>
      <c r="D14" s="114">
        <v>20</v>
      </c>
      <c r="E14" s="115">
        <f>C14*D14/4</f>
        <v>35</v>
      </c>
      <c r="F14" s="116">
        <v>4</v>
      </c>
      <c r="G14" s="116">
        <f>C14*D14</f>
        <v>140</v>
      </c>
      <c r="H14" s="73" t="s">
        <v>296</v>
      </c>
      <c r="I14" s="101" t="s">
        <v>246</v>
      </c>
    </row>
    <row r="15" spans="2:9" s="5" customFormat="1" ht="15">
      <c r="B15" s="75" t="s">
        <v>215</v>
      </c>
      <c r="C15" s="82">
        <f>SUM(C8:C14)</f>
        <v>976.912</v>
      </c>
      <c r="D15" s="75">
        <v>20</v>
      </c>
      <c r="E15" s="29"/>
      <c r="F15" s="29"/>
      <c r="G15" s="74">
        <f>SUM(G8:G14)</f>
        <v>19538.24</v>
      </c>
      <c r="H15" s="29"/>
      <c r="I15" s="101"/>
    </row>
    <row r="16" spans="2:15" s="5" customFormat="1" ht="14.25" customHeight="1">
      <c r="B16" s="43"/>
      <c r="C16" s="43"/>
      <c r="D16" s="43"/>
      <c r="E16" s="43"/>
      <c r="F16" s="43"/>
      <c r="G16" s="43"/>
      <c r="H16" s="43"/>
      <c r="I16" s="43"/>
      <c r="J16" s="43"/>
      <c r="K16" s="43"/>
      <c r="L16" s="43"/>
      <c r="M16" s="43"/>
      <c r="N16" s="43"/>
      <c r="O16" s="14"/>
    </row>
  </sheetData>
  <sheetProtection/>
  <mergeCells count="10">
    <mergeCell ref="H6:H7"/>
    <mergeCell ref="C6:C7"/>
    <mergeCell ref="D6:D7"/>
    <mergeCell ref="I6:I7"/>
    <mergeCell ref="H2:I2"/>
    <mergeCell ref="B4:I4"/>
    <mergeCell ref="E6:E7"/>
    <mergeCell ref="F6:F7"/>
    <mergeCell ref="G6:G7"/>
    <mergeCell ref="B6:B7"/>
  </mergeCells>
  <printOptions/>
  <pageMargins left="0.7" right="0.7" top="0.75" bottom="0.75" header="0.3" footer="0.3"/>
  <pageSetup fitToHeight="0" fitToWidth="1" horizontalDpi="600" verticalDpi="600" orientation="landscape"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B2:O13"/>
  <sheetViews>
    <sheetView showGridLines="0" zoomScale="75" zoomScaleNormal="75" zoomScalePageLayoutView="0" workbookViewId="0" topLeftCell="A1">
      <selection activeCell="I9" sqref="I9"/>
    </sheetView>
  </sheetViews>
  <sheetFormatPr defaultColWidth="8.7109375" defaultRowHeight="15"/>
  <cols>
    <col min="1" max="1" width="8.7109375" style="5" customWidth="1"/>
    <col min="2" max="2" width="29.00390625" style="5" customWidth="1"/>
    <col min="3" max="3" width="13.57421875" style="5" customWidth="1"/>
    <col min="4" max="4" width="16.00390625" style="5" customWidth="1"/>
    <col min="5" max="5" width="15.57421875" style="5" customWidth="1"/>
    <col min="6" max="6" width="10.7109375" style="5" customWidth="1"/>
    <col min="7" max="7" width="12.00390625" style="5" customWidth="1"/>
    <col min="8" max="8" width="49.28125" style="5" customWidth="1"/>
    <col min="9" max="9" width="40.421875" style="5" customWidth="1"/>
    <col min="10" max="16384" width="8.7109375" style="5" customWidth="1"/>
  </cols>
  <sheetData>
    <row r="2" spans="5:11" ht="15">
      <c r="E2" s="14"/>
      <c r="F2" s="14"/>
      <c r="G2" s="14"/>
      <c r="H2" s="189" t="s">
        <v>274</v>
      </c>
      <c r="I2" s="189"/>
      <c r="J2" s="14"/>
      <c r="K2" s="14"/>
    </row>
    <row r="3" spans="5:13" ht="15">
      <c r="E3" s="14"/>
      <c r="F3" s="14"/>
      <c r="G3" s="14"/>
      <c r="H3" s="14"/>
      <c r="I3" s="14"/>
      <c r="J3" s="14"/>
      <c r="K3" s="14"/>
      <c r="L3" s="14"/>
      <c r="M3" s="14"/>
    </row>
    <row r="4" spans="2:13" ht="15" customHeight="1">
      <c r="B4" s="192" t="s">
        <v>237</v>
      </c>
      <c r="C4" s="192"/>
      <c r="D4" s="192"/>
      <c r="E4" s="192"/>
      <c r="F4" s="192"/>
      <c r="G4" s="192"/>
      <c r="H4" s="192"/>
      <c r="I4" s="192"/>
      <c r="J4" s="43"/>
      <c r="K4" s="43"/>
      <c r="L4" s="43"/>
      <c r="M4" s="14"/>
    </row>
    <row r="5" spans="5:13" ht="15">
      <c r="E5" s="14"/>
      <c r="F5" s="14"/>
      <c r="G5" s="14"/>
      <c r="H5" s="14"/>
      <c r="I5" s="14"/>
      <c r="J5" s="14"/>
      <c r="K5" s="14"/>
      <c r="L5" s="14"/>
      <c r="M5" s="14"/>
    </row>
    <row r="6" spans="2:9" ht="48.75" customHeight="1">
      <c r="B6" s="280" t="s">
        <v>6</v>
      </c>
      <c r="C6" s="281" t="s">
        <v>232</v>
      </c>
      <c r="D6" s="281" t="s">
        <v>238</v>
      </c>
      <c r="E6" s="281" t="s">
        <v>194</v>
      </c>
      <c r="F6" s="281" t="s">
        <v>195</v>
      </c>
      <c r="G6" s="281" t="s">
        <v>11</v>
      </c>
      <c r="H6" s="280" t="s">
        <v>5</v>
      </c>
      <c r="I6" s="280" t="s">
        <v>17</v>
      </c>
    </row>
    <row r="7" spans="2:9" ht="14.25">
      <c r="B7" s="280"/>
      <c r="C7" s="282"/>
      <c r="D7" s="282"/>
      <c r="E7" s="282"/>
      <c r="F7" s="282"/>
      <c r="G7" s="282"/>
      <c r="H7" s="280"/>
      <c r="I7" s="280"/>
    </row>
    <row r="8" spans="2:9" ht="313.5" customHeight="1">
      <c r="B8" s="83" t="s">
        <v>212</v>
      </c>
      <c r="C8" s="84">
        <v>335.08</v>
      </c>
      <c r="D8" s="83">
        <v>13</v>
      </c>
      <c r="E8" s="109">
        <f>D8*C8/3</f>
        <v>1452.0133333333333</v>
      </c>
      <c r="F8" s="85">
        <v>3</v>
      </c>
      <c r="G8" s="109">
        <f>E8*F8</f>
        <v>4356.04</v>
      </c>
      <c r="H8" s="72" t="s">
        <v>384</v>
      </c>
      <c r="I8" s="69" t="s">
        <v>213</v>
      </c>
    </row>
    <row r="9" spans="2:9" ht="205.5" customHeight="1">
      <c r="B9" s="83" t="s">
        <v>196</v>
      </c>
      <c r="C9" s="84">
        <v>3</v>
      </c>
      <c r="D9" s="83">
        <v>13</v>
      </c>
      <c r="E9" s="85">
        <f>G9/F9</f>
        <v>13</v>
      </c>
      <c r="F9" s="85">
        <v>3</v>
      </c>
      <c r="G9" s="85">
        <f>C9*D9</f>
        <v>39</v>
      </c>
      <c r="H9" s="73" t="s">
        <v>244</v>
      </c>
      <c r="I9" s="71"/>
    </row>
    <row r="10" spans="2:9" ht="297.75" customHeight="1">
      <c r="B10" s="83" t="s">
        <v>234</v>
      </c>
      <c r="C10" s="84">
        <v>7.043</v>
      </c>
      <c r="D10" s="83">
        <v>13</v>
      </c>
      <c r="E10" s="85">
        <f>G10/F10</f>
        <v>30.519666666666666</v>
      </c>
      <c r="F10" s="85">
        <v>3</v>
      </c>
      <c r="G10" s="108">
        <f>C10*D10</f>
        <v>91.559</v>
      </c>
      <c r="H10" s="73" t="s">
        <v>379</v>
      </c>
      <c r="I10" s="69" t="s">
        <v>380</v>
      </c>
    </row>
    <row r="11" spans="2:9" ht="300.75" customHeight="1">
      <c r="B11" s="44" t="s">
        <v>247</v>
      </c>
      <c r="C11" s="84">
        <v>10.77</v>
      </c>
      <c r="D11" s="83">
        <v>13</v>
      </c>
      <c r="E11" s="108">
        <f>ROUND(G11/F11,2)</f>
        <v>46.67</v>
      </c>
      <c r="F11" s="85">
        <v>3</v>
      </c>
      <c r="G11" s="85">
        <f>C11*D11</f>
        <v>140.01</v>
      </c>
      <c r="H11" s="73" t="s">
        <v>297</v>
      </c>
      <c r="I11" s="101"/>
    </row>
    <row r="12" spans="2:9" ht="15">
      <c r="B12" s="75" t="s">
        <v>215</v>
      </c>
      <c r="C12" s="82">
        <f>SUM(C8:C11)</f>
        <v>355.893</v>
      </c>
      <c r="D12" s="75">
        <v>13</v>
      </c>
      <c r="E12" s="29"/>
      <c r="F12" s="29"/>
      <c r="G12" s="74">
        <f>SUM(G8:G11)</f>
        <v>4626.609</v>
      </c>
      <c r="H12" s="29"/>
      <c r="I12" s="101"/>
    </row>
    <row r="13" spans="2:15" ht="14.25" customHeight="1">
      <c r="B13" s="43"/>
      <c r="C13" s="43"/>
      <c r="D13" s="43"/>
      <c r="E13" s="43"/>
      <c r="F13" s="43"/>
      <c r="G13" s="43"/>
      <c r="H13" s="43"/>
      <c r="I13" s="43"/>
      <c r="J13" s="43"/>
      <c r="K13" s="43"/>
      <c r="L13" s="43"/>
      <c r="M13" s="43"/>
      <c r="N13" s="43"/>
      <c r="O13" s="14"/>
    </row>
  </sheetData>
  <sheetProtection/>
  <mergeCells count="10">
    <mergeCell ref="H2:I2"/>
    <mergeCell ref="B4:I4"/>
    <mergeCell ref="B6:B7"/>
    <mergeCell ref="C6:C7"/>
    <mergeCell ref="D6:D7"/>
    <mergeCell ref="E6:E7"/>
    <mergeCell ref="F6:F7"/>
    <mergeCell ref="G6:G7"/>
    <mergeCell ref="H6:H7"/>
    <mergeCell ref="I6:I7"/>
  </mergeCells>
  <printOptions/>
  <pageMargins left="0.25" right="0.25" top="0.75" bottom="0.75" header="0.3" footer="0.3"/>
  <pageSetup fitToHeight="0"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dc:creator>
  <cp:keywords/>
  <dc:description/>
  <cp:lastModifiedBy>Ingrīda Ivanova</cp:lastModifiedBy>
  <cp:lastPrinted>2022-09-22T03:36:32Z</cp:lastPrinted>
  <dcterms:created xsi:type="dcterms:W3CDTF">2021-08-12T13:01:54Z</dcterms:created>
  <dcterms:modified xsi:type="dcterms:W3CDTF">2023-03-07T08:37:21Z</dcterms:modified>
  <cp:category/>
  <cp:version/>
  <cp:contentType/>
  <cp:contentStatus/>
</cp:coreProperties>
</file>