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68" tabRatio="914" activeTab="4"/>
  </bookViews>
  <sheets>
    <sheet name="SATURS" sheetId="1" r:id="rId1"/>
    <sheet name="8.1. pielikums" sheetId="2" r:id="rId2"/>
    <sheet name="8.2.pielikums" sheetId="3" r:id="rId3"/>
    <sheet name="8.3.pielikums" sheetId="4" r:id="rId4"/>
    <sheet name="8.4.pielikums" sheetId="5" r:id="rId5"/>
    <sheet name="8.5.pielikums" sheetId="6" r:id="rId6"/>
    <sheet name="8.6.pielikums" sheetId="7" r:id="rId7"/>
  </sheets>
  <definedNames>
    <definedName name="_xlfn._FV" hidden="1">#NAME?</definedName>
    <definedName name="_xlfn.AGGREGATE" hidden="1">#NAME?</definedName>
    <definedName name="_xlfn.ANCHORARRAY" hidden="1">#NAME?</definedName>
    <definedName name="_xlfn.SINGLE" hidden="1">#NAME?</definedName>
    <definedName name="_xlfn.TEXTJOIN" hidden="1">#NAME?</definedName>
  </definedNames>
  <calcPr fullCalcOnLoad="1"/>
</workbook>
</file>

<file path=xl/sharedStrings.xml><?xml version="1.0" encoding="utf-8"?>
<sst xmlns="http://schemas.openxmlformats.org/spreadsheetml/2006/main" count="270" uniqueCount="204">
  <si>
    <t>SATURS</t>
  </si>
  <si>
    <t>Nosaukums</t>
  </si>
  <si>
    <t xml:space="preserve">Pielikuma Nr. </t>
  </si>
  <si>
    <t>PR pakalpojuma koordinators</t>
  </si>
  <si>
    <t>PR pakalpojuma vadītājs</t>
  </si>
  <si>
    <t>Aprēķina rādītāju pamatojuma skaidrojums</t>
  </si>
  <si>
    <t>Izmaksu nosaukums</t>
  </si>
  <si>
    <t>Vienas grupu nodarbības izmaksas</t>
  </si>
  <si>
    <t>Kopējās izmaksas</t>
  </si>
  <si>
    <t>Grupu nodarbību skaits</t>
  </si>
  <si>
    <t>Sakaru pakalpojumi (telefons, internets)</t>
  </si>
  <si>
    <t>Tulks</t>
  </si>
  <si>
    <t>Izmaksu nepieciešamības pamatojums</t>
  </si>
  <si>
    <t xml:space="preserve">Aprēķins  </t>
  </si>
  <si>
    <t>Supervīziju izmaksas</t>
  </si>
  <si>
    <t>nodarbību skaits</t>
  </si>
  <si>
    <t>nodarbību izmaksas</t>
  </si>
  <si>
    <t>Sociālais darbinieks</t>
  </si>
  <si>
    <t>PR pakalpojuma izmaksu pozīcijas</t>
  </si>
  <si>
    <t>Atlīdzības izmaksas</t>
  </si>
  <si>
    <t>PR pakalpojuma vienas vienības izmaksu /cenas aprēķins</t>
  </si>
  <si>
    <t>Mērvienība</t>
  </si>
  <si>
    <t>Vienas apmācību grupu nodarbības izmaksas</t>
  </si>
  <si>
    <t>Apmācību grupu skaits</t>
  </si>
  <si>
    <t>Tulko somu speciālista lekciju dažāda veida materiālus no angļu valodas latviešu valodā (secīgā tulkošana). Tulka pakalpojums ir nepieciešams, lai nodrošinātu, ka visi apmācību dalībnieki saprot mācīto un nerodas pārpratumi vai mācības nav lietderīgas nepietiekamas valodas zināšanu trūkuma dēļ.</t>
  </si>
  <si>
    <t>Profesionālis - somu speciālista atlīdzība</t>
  </si>
  <si>
    <t xml:space="preserve">PR pakalpojuma ieviešanā tiek pārņemta Somijas Autisma apvienības labā prakse, kas ietver ekspertu apmācību un motivēšanu dalīties ar savu pieredzi. Ekspertiem var būt ļoti nozīmīga pieredze un zināšanas, ar kurām dalīties atbalsta grupā, tādējādi palīdzot cilvēkiem, kuri ir līdzīgā situācijā. Diemžēl prasmju trūkums komunikācijā un uzstāšanās jomā var būtiski ietekmēt eksperta sniegtās informācijas uztveramību. </t>
  </si>
  <si>
    <t xml:space="preserve">Veidojot PR pakalpojumu, tiek pārņemta Somijas Autisma apvienības labā prakse, līdz ar to tiek plānots, ka atbalsta grupu vadītāju - līdzinieku apmācības vadīs somu speciālisti, izmantojot Somijas Autisma apvienības  izstrādātu un  praktizētu atbalsta grupu vadītāju apmācību programmu. </t>
  </si>
  <si>
    <t xml:space="preserve">Kopā: </t>
  </si>
  <si>
    <t>Viena līdzinieka apmācību izmaksas</t>
  </si>
  <si>
    <t>Kopējais apmācāmo līdznieku skaits</t>
  </si>
  <si>
    <t>Kopējais apmācāmo pieredzes ekspertu skaits</t>
  </si>
  <si>
    <t xml:space="preserve">Lai veicinātu vecāku iesaistīšanos PR pakalpojumu nodrošināšanā - atbalsta grupu vadīšanā, plānots segt ceļa izdevumus apmācību grupu dalībniekiem, kuri dzīvo ārpus Rīgas. </t>
  </si>
  <si>
    <t>Ceļa izdevumi apmācību grupu dalībniekiem, kuri dzīvo ārpus Rīgas</t>
  </si>
  <si>
    <t>Pakalpojuma veids</t>
  </si>
  <si>
    <t>Atbalsta grupu vadītāju - līdzinieku apmācības</t>
  </si>
  <si>
    <t>Atbalsta grupu vadītāju - pieredzes ekspertu apmācības</t>
  </si>
  <si>
    <t>Klātiene</t>
  </si>
  <si>
    <t>Izmaksas, kas attiecināmas uz visu veidu nodarbībām</t>
  </si>
  <si>
    <t>Attālināti</t>
  </si>
  <si>
    <t>Izmaksas, kas attiecināmas uz nodarbībām, kas tiks nodrošinātas klātienē</t>
  </si>
  <si>
    <t>Ar PR pakalpojuma  prasību nodrošināšanu saistītās izmaksas</t>
  </si>
  <si>
    <t>Izlietotais finansējums</t>
  </si>
  <si>
    <t>Atbalsta grupu vadītāju apmācību nodrošināšana</t>
  </si>
  <si>
    <t>Viens apmācību dalībnieks</t>
  </si>
  <si>
    <t>Vienas vienības izmaksas/cena</t>
  </si>
  <si>
    <t>PR pakalpojuma nodrošināšana</t>
  </si>
  <si>
    <t>Profesionālis - vietējais speciālists atlīdzība</t>
  </si>
  <si>
    <t>Dalībnieku izmitināšana, ēdināšana un telpu noma pasākumam</t>
  </si>
  <si>
    <t xml:space="preserve">Apmācību nodarbības ir plānotas klātienē, tā kā:
1) apmācību vadītāji dzīvo Somijā uz apmācību laiku, viņiem vajag nodrošināt izmitināšanu vietā, kur tiks organizētas apmācību nodarbības.
2) daļa apmācāmo līdzinieku dzīvo dažādos Latvijas reģionos un noklūšana līdz apmācību vietai var būt ilgstoša. Dalībnieku izmitināšana vietā, kur tiks organizētas apmācību nodarbības, nodrošinātu visu dalībnieku piedalīšanos mācībās, kā arī papildus veicinās dalībnieku un organizētāju iepazīšanos. 
</t>
  </si>
  <si>
    <t xml:space="preserve">Izvēlētais pakalpojuma sniedzējs ir mācību centrs ATBALSTS, ar kuru LAA ir izveidojusies laba sadarbība (tulkam ir pieredze līdzīga satura pasākumos un pakalpojuma sniedzējs pārzin AST jomas specifiku). Stundas likme lekcijas tulkošanai ir 24 euro.   </t>
  </si>
  <si>
    <t>Radošo darbnīcu vienas nodarbības izmaksas/cena</t>
  </si>
  <si>
    <t>Atlīdzība pasniedzējiem</t>
  </si>
  <si>
    <t>Telpu īre un kafijas pauze</t>
  </si>
  <si>
    <t>Tulks ir nepieciešams, jo apmācībām ir piesaistīti kvalificēti ārzemju speciālisti.</t>
  </si>
  <si>
    <t>Apmācības notiks trīs dienas, divas no tām apmācības notiks LAA telpās, savukārt noslēdzošā diena notiks konferenču telpā viesnīcā, kurā būs izmitināti ārvalstu speciālisti.</t>
  </si>
  <si>
    <t xml:space="preserve">Telpu īre viesnīcā ir nepieciešama, jo plānotās pieredzes ekspertu apmācības pārklāsies ar citu pasākumus, kas plānots LAA telpās. </t>
  </si>
  <si>
    <t>PR pakalpojuma atlīdzības izmaksas</t>
  </si>
  <si>
    <t>Kopā</t>
  </si>
  <si>
    <t>Noformēšanas mākslinieks pēc pieprasījuma sagatavo maketus dažādiem informatīvo materiālu veidiem, tas ir nepieciešams, lai veicinātu "nododamās informācijas" vieglāku uztveri PR pakalpojuma saņēmējiem (gan esošajiem, gan potenciālajiem).</t>
  </si>
  <si>
    <t>Radošo darbnīcu un klātienes speciālo atbalsta grupu darba materiālu izmaksas</t>
  </si>
  <si>
    <t>Pieredzes eksperts</t>
  </si>
  <si>
    <t>Atlīdzība PR pakalpojuma vadītājam, koordinatoriem un sociālajam darbiniekam</t>
  </si>
  <si>
    <t xml:space="preserve">PR pakalpojuma vadītājs tiek pielīdzināts projekta vadītājam un saskaņā ar MK 26.04.2022 noteikumiem Nr.262 klasificējas 39.1. apakšsaimē "Projektu vadība un īstenošana" II A līmenī, kam piemērojama – 9. mēnešalgu grupa. Atlīdzība  -  bruto alga 1653 euro + 389.88 euro (DD soc.nodoklis (23.59%)) = 2042.61 euro </t>
  </si>
  <si>
    <t xml:space="preserve">PR pakalpojuma koordinators  saskaņā ar MK 26.04.2022 noteikumiem Nr.262 klasificējas 39.1. apakšsaimē "Projektu vadība un īstenošana" I līmenī, kam piemērojama – 8. mēnešalgu grupa. Atlīdzība -  bruto alga 1388 euro + 327.36 euro (DD soc.nodoklis (23.59%)) = 1715.06 euro </t>
  </si>
  <si>
    <t xml:space="preserve">Sociālais darbinieks saskaņā ar MK 26.04.2022 noteikumiem Nr.262 klasificējas 43.1. apakšaimē "Sociālais darbs" V A līmenī, kam piemērojama – 9. mēnešalgu grupa. Atlīdzība  -  bruto alga 1653 euro + 389.88 euro (DD soc.nodoklis (23.59%)) = 2042.61 euro </t>
  </si>
  <si>
    <t>Informācijas tehnoloģiju speciālists</t>
  </si>
  <si>
    <t>Atbalsta grupu vadītājs - profesionālis (vietējais speciālists)</t>
  </si>
  <si>
    <t xml:space="preserve">Lai nodrošinātu PR pakalpojumu, ir uzrunāti dažādi vietējie speciālisti, tostarp vairāki speciālisti no Bērnu klīniskā universitātes slimnīcas (psihiatrs, ginekoloģe un agrīnās intervences komandas vadītāja), sertificēta ārstniecības persona zobu higiēniste specialitāte no Rīgas Stradiņa universitātes stomatoloģijas institūta, lietišķās uzvedības analīzes (ABA) speciālists, kuri ir piekrituši iesaistīties PR pakalpojuma nodrošināšanā. Aptaujājot šos speciālistus, tika iegūta informācija par atlīdzības apmēru, kas ar nodokļiem ir 271.90 euro.  </t>
  </si>
  <si>
    <t xml:space="preserve">MK 26.04.2022. noteikumi Nr.262 saime "Pedagoģiskās darbības atbalsts" 33. saime I līmenis, kas atbilst 4. mēnešalgas grupai. Alga mēnesī 1228 + DD soc.nod. (23.59%) 289.79 euro = 1518.25 euro.   Stundas likme 1518.25/168h = 9.04 euro. </t>
  </si>
  <si>
    <t>Atbalstošais personāls atbalsta grupu nodarbībās</t>
  </si>
  <si>
    <t xml:space="preserve">MK 26.04.2022. noteikumi Nr.262 40.saime "Radošie darbi" I līmenis, kas atbilst 5. mēnešalgas grupai.  Atlīdzība mēnesī 1012 euro + DD soc.nod. (23.59%) 238.81 euro = 1251.15 euro. </t>
  </si>
  <si>
    <t xml:space="preserve">MK 26.04.2022 noteikumi Nr.262 –   21. saime 21.1. apakšaime "Datorgrafika un WEB dizains", kas pielīdzināms 8. mēnešalgas grupai.  Atlīdzība -  bruto alga 1388 euro + 327.36 euro (DD soc.nodoklis (23.59%)) = 1715.06 euro </t>
  </si>
  <si>
    <t>Ap 33.6 stundām mēnesī (0.2 slodze) speciālists nodrošina datu bāzes un mājas lapas sadaļas, kurā tiek ievietota informācija par pakalpojumu, uzturēšanu. Datu bāze ir nodevuma ietvaros izstrādāts un uzturēts esošo un potenciālo atbalsta saņēmēju reģistrs. Tas ir svarīgs elements PR pakalpojuma atbalsta grupu tīkla izveidei (vienuviet reģistrēti atbalsta grupu dalībnieki, vecāki, kuri gatavi vadīt atbalsts grupas, un vecāki un personas ar AST, kuri gatavi dalīties ar savu pieredzi dažādos jautājumos (experts by experience).</t>
  </si>
  <si>
    <t>Ņemot vērā PR pakalpojuma mērķgrupas lielumu un izmēģinājumprojekta laikā gūto pieredzi, secināts, ka kvalitatītai PR pakalpojuma nodrošināšanai nepieciešama vismaz divu sociālo darbinieku slodzes ieguldījums.</t>
  </si>
  <si>
    <t>Ņemot vērā PR pakalpojuma mērķgrupas lielumu, PR pakalpojumu nodarbību skaitu un izmēģinājumprojekta laikā gūto pieredzi, secināts, ka kvalitatītai PR pakalpojuma nodrošināšanai nepieciešama trīs PR pakalpojuma koordinatoru slodzes ieguldījums.</t>
  </si>
  <si>
    <t>PR pakalpojuma nodrošināšanā iesaistīto darbinieku atlīdzības izmaksas</t>
  </si>
  <si>
    <t>Vispārīgās atbalsta grupas klātienē</t>
  </si>
  <si>
    <t>Vispārīgās atbalsta grupas attālināti</t>
  </si>
  <si>
    <t>Speciālās atbalsta grupas attālināti</t>
  </si>
  <si>
    <t>Speciālās atbalsta grupas klātienē bērniem</t>
  </si>
  <si>
    <t>Speciālās atbalsta grupas klātienē vecākiem</t>
  </si>
  <si>
    <t>Radošās darbnīcas bērniem</t>
  </si>
  <si>
    <t>Nodarbību skaits kopā</t>
  </si>
  <si>
    <t>Nr. p. k.</t>
  </si>
  <si>
    <t>Noformēšanas mākslinieks - maketētājs</t>
  </si>
  <si>
    <t>Nofromēšanas mākslinieks - maketētājs</t>
  </si>
  <si>
    <t>IT speciālists</t>
  </si>
  <si>
    <t>Vispārīgās atbalsta grupu nodarbības vada atbalsta grupu vadītājs - līdzninieks bez atlīdzības. Izmēģinājumprojekta laikā secināts, ka atsevišķos gadījumos, kad tiek runāts par specifiskām tēmām (piemēram, juridiskie aspekti gatavojoties pilngadībai), var būt nepieciešams uzaicināt nodarbīu vadīt profesionālim (vietējam speciālistam). Tiek pieņemts, ka no no visām nodarbībām tāda nepieciešamība būtu 20% gadījumos.</t>
  </si>
  <si>
    <t>Radošo darbnīcu nodarbības vada trīs profesionāļi (vietējie speciālisti), katrs par atlīdzību 271.9 euro.</t>
  </si>
  <si>
    <t>Atlīdzība uz vienu radošās darbnīcas nodarbību 815.7 euro = 271.9 euro x 3 speciālisti</t>
  </si>
  <si>
    <t>1) Atlīdzība gadā 24511.32 euro = 2042.61 euro x 12 mēneši;
2) Atlīdzība uz vienu nodarbību 92.84 euro = 24511.32 euro/ 264 nodarbības</t>
  </si>
  <si>
    <t>1) Atlīdzība gadā vienam koordinatoram 20580.72 euro = 1715.06 euro x 12 mēneši;
2) Atlīdzība gadā trīs koordinatoriem 61742.16 = 1715.06 euro x 3 koordinatori;
3) Atlīdzība uz vienu nodarbību 233.87 euro = 61742 euro/ 264 nodarbības</t>
  </si>
  <si>
    <t>1) Atlīdzība gadā 24511.32 euro = 2042.61 euro x 12 mēneši;
2) Atlīdzība diviem sociālajiem darbiniekiem gadā 49022.64 euro = 24511.32 euro x 3 darbinieki
3) Atlīdzība uz vienu nodarbību 185.69 euro = 49022.64 euro / 264 nodarbības</t>
  </si>
  <si>
    <t>1) Atlīdzība gadā 15013.8 euro = 1251.15 euro x 12 mēneši;
2) Atlīdzība uz vienu nodarbību 56.87 euro = 15013.8 euro/ 264 nodarbības</t>
  </si>
  <si>
    <t>1) Atlīdzība nodarbinātjai slodzei mēnesī 343.01 euro = 1715.06 euro x 0.2 slodze;
2) Atlīdzība nodarbinātajai slodzei gadā 4116.12 euro = 343.01 euro x 12 mēneši;
2) Atlīdzība uz vienu nodarbību 15.59 euro = 4116.12 euro/ 264 nodarbības</t>
  </si>
  <si>
    <t>1) Gadījumu skaits, kad uz vispārīgās atbalsta grupas nodarbību tiek aicināts profesionālis (vietējais speciālists), 16 nodarbības =  20% x 80 nodarbības;
2) Atlīdzība kopā par 16 nodarbībām 4350.4 euro = 271.9 euro x 16 nodarbības;
3) Atlīdzība uz vienu vispārīgo atbalsta grupas nodarbību 54.4 euro = 4350.4 / 80 nodarbības.</t>
  </si>
  <si>
    <t>Speciālās atbalsta grupu nodarbības (attālinātās nodarbības un klātienes nodarbības vecākiem) vada viens atbalsta grupu vadītājs - profesionālis (vietējais speciālists) par atlīdzību 271.9 euro. 
Speciālās atbalsta grupu nodarbības klātienē bērniem vada trīs atbalsta grupu vadītāji - profesionāļi (vietējie speciālisti), katrs par atlīdzību 271.9 euro.
Izmēģinājumprojekta laikā secināts, ka atsevišķos gadījumos, kad tiek runāts par arežģītām aktuālām tēmām, var būt nepieciešams organizēt nodarbību ar vairākiem speciālistiem. Tiek pieņemts, ka no visām nodarbībām tāda nepieciešamība būtu 20% gadījumos no nodarbībām vecākiem (neattiecina uz nodarbībām bērniem, jo tajās paredzēts optimālais speciālistu skaits).</t>
  </si>
  <si>
    <t>1) Gadījumu skaits, kad uz speciālās atbalsta grupas nodarbību tiek papildus aicināts profesionālis (vietējais speciālists), 14 nodarbības =  20% x 68 nodarbībām vecākiem;
2) Atlīdzība kopā par 14 nodarbībām 3806.6 euro = 271.9 euro x 14 nodarbības;
3) Papildus speciālistu atlīdzība uz vienu nodarbību 55.98 euro = 3806.6 euro / 68 nodarbības;
4) Atlīdzība uz vienu speciālās atbalsta grupu nodarbību vecākiem 327.88 euro = 271.9 euro + 55.98 euro;
5) Atlīdzība uz vienu speciālās atbalsta grupu nodarbību bērniem 815.7 euro = 271.9 euro x 3 speciālisti.</t>
  </si>
  <si>
    <t xml:space="preserve">Apmācītie pieredzes eksperti tiek aicināti piedalīties atbalsta grupu nodarbībās un dalīties ar savu pieredzi. Tiek pieņemts, ka gadā atlīdzība būs izmaksājama 8 pieredzes ekspertiem, kuri piedalīsies vispārīgo atbalsta grupu nodarbībās. </t>
  </si>
  <si>
    <t>Veidojot PR pakalpojumu, tiek pārņemta Somijas Autisma apvienības labā prakse, kas paredz motivējošu atlīdzību pieredzes ekspertiem par viņu darbu atbalsta grupu vadīšanā. Motivējošās atlīdzības apmērs noteikts 127.30 euro (t.sk. bruto atlīdzība 103 euro un DD soc. nod. 24.30 euro par nodarbību, neto atlīdzība pieredzes ekspertam 70.65 euro).</t>
  </si>
  <si>
    <t>Lai veicinātu PR pakalpojumu saņēmēju - vecāku dalību atbalsta grupu nodarbībās, tiek uzaicināts atbalstošais personāls, kurš palīdz atbalsta grupu vadītājiem organizēt nodarbību, t.sk. pieskatot līdzi paņemtos bērnus. Attiecas uz vispārīgajām atbalsta grupu nodarbībām klātienē un</t>
  </si>
  <si>
    <t>1) Atlīdzība uz vienu vispārīgās atbalsta grupas nodarbību klātienē vienam atbalstošajam personāla darbiniekam  27.12 euro = 9.04 euro x 3 stundas (2 stundas nodarbība + 1 stunda pirms/pēc nodarbības)
2) Atlīdzība uz vienu vispārīgās atbalsta grupas nodarbību klātienē 54.24 euro = 27.12 euro x 2 atbalstošā personāla darbinieki.</t>
  </si>
  <si>
    <t>1) Atlīdzība uz vienu radošās darbnīcas nodarbību vienam atbalstošajam personāla darbiniekam 54.24 euro = 9.04 euro x 6 sundas (5 stundas nodarbība + 1 stunda pirms/pēc nodarbības);
2) Atlīdzība uz vienu radošās darbnīcas nodarbību 108.48 euro = 54.24 euro x 2 atbalstošā personāla darbinieki.</t>
  </si>
  <si>
    <t>1) Atlīdzība visiem pieredzes ekspertiem 1018.4 euro = 127.3 euro x 8 izmaksājamo atlīdzību skaits;
2) Atlīdzība uz vienu klātienes vispārīgās atbalsta grupas nodarbību 16.43 euro = 1018.4 euro / 62 nodarbības.
Pārbaude: 16.43 x62 = 1018.66 (noapaļošanas starpība 0.26)</t>
  </si>
  <si>
    <t>Sadalījuma salīdzinājums ar kopsummu (nelielas starpības rodas noapaļošanas rezultātā)</t>
  </si>
  <si>
    <t>n/a</t>
  </si>
  <si>
    <t>Izmaksas kopā (euro):</t>
  </si>
  <si>
    <t xml:space="preserve">Ar cenu aptaujas metodi noskaidrotās izmaksas individuālajām supervīzijām ir 60 euro, grupu supervīzijai ir 200 euro un grupu supervīzijai ar lielāku dalībnieku skaitu pasākuma ietvaros ir 300 euro. </t>
  </si>
  <si>
    <t xml:space="preserve">13.06.2017. MK noteikumi Nr. 338 nosaka minimālo supervīziju skaitu darbiniekiem, kuri ir tieši iesaistīti sociālā pakalpojuma sniegšanā un organizēšanā (ne mazāk kā 10 supervīziju sesijas). PR pakalpojuma koordinēšanu ar pilnu darba slodzi nodrošina PR pakalpojuma vadītājs, trīs PR pakalpojuma koordinatori un divi sociālie darbinieki. Katram no tiem gadā tiek nodrošinātas 4 grupu supervīzijas un 6 indiviuālās supervīzijas gadā. </t>
  </si>
  <si>
    <t>PR pakalpojuma nodrošināšinā iesaistītajiem atbalsta grupu vadītājiem - līdziniekiem un pieredzes ekspertiem tiek nodrošinātas 6 grupu supervīzijas (katrā grupu supervīzijā 6 - 10 dalībnieki) gadā un 1 individuālā supervīzija (tiek pieņemts, ka individuālo supervīziju izmantos tikai puse). Izmēģinājumprojekta laikā apmācīti 20 līdzinieki un 8 pieredzes eksperti, turpmāk tiek paredzētas jaunu atbalsta grupu vadītāju apmācības. Tiek pieņemts, ka optimālais skaits esošo atbalsta grupu (līdz 13 grupas) nodarbību (80 nodarbības) nodrošināšanai būtu 30 līdzinieki un 12 pieredzes eksperti.</t>
  </si>
  <si>
    <t>1) PR pakalpojuma koordinēšanā iesaistīto darbiniekiem nodrošināmo supervīziju skaits 36 = 6 darbinieki x 6 supervīzijas gadā;
2) Individuālo supervīziju kopējās izmaksas PR pakalpojuma koordinēšanā iesaistītajiem darbiniekiem 2160 euro = 36 individuālās supervīzijas x 60 euro;
3) Grupu supervīziju kopējās izmaksas PR pakalpojuma koordinēšanā iesaistītajiem darbiniekiem 800 euro = 4 grupu supervīzijas x 200 euro;
4) Kopējās supervīziju izmaksas 2960 euro = 2160 euro + 800 euro;
5) Izmaksas uz vienu nodarbību 11.21 euro = 2960 euro/ 264 nodarbības.
Pārbaude: 11.21 x 264 nodarbībām = 2959.44 (noapaļošanas starpība 0.56).</t>
  </si>
  <si>
    <t>Klātiene vecākiem</t>
  </si>
  <si>
    <t>Klātiene bērniem</t>
  </si>
  <si>
    <t>Telpu noma PR pakalpojuma nodrošināšanai un klātienes grupu nodarbībām, kas notiks Rīgā, LAA telpās</t>
  </si>
  <si>
    <t>Telpu noma PR pakalpojuma nodrošināšanai un klātienes grupu nodarbībām tiek rēķināta, ņemot vērā izmēģinājumprojekta laikā realizēto, t.i. LAA tepu izmantošanu. LAA juridiskās adreses telpas ir 176 m2 lielas un  īri mēnesī  iznaksā 1280.66 euro. Faktiski šīs telpas tiek dalītas ar SIA "Outloud" un LAA sedzama ir tikai puse no īres maksas, t.i. 640.33 euro. Tiek pieņemts, ka uz projeka laiku LAA telpu daļa tiek izmantota pilnībā, sedzot nomas maksu 640.33 euro.</t>
  </si>
  <si>
    <t>1) Telpu nomas kopējās izmaksas 7683.96 euro = 12 mēneši x 640.33 euro;
2) Telpu nomas izmaksas uz vienu nodarbību 29.11 euro = 7683.96 euro / 264 nodarbības.
Pārbaude 29.11 x 264 = 7685.04 (noapaļošanas starpība 1.08 euro).</t>
  </si>
  <si>
    <t>PR pakalpojuma koordinēšanā iesaistītajiem darbiniekiem tiek nodrošināta telefonsarunu un interneta pieslēgumi:
1) PR pakalpojuma vadītājam un diviem PR pakalpojuma koordinatoriem – Biznesa Eiropa Bezlimits;
2) Vienam PR pakalpojuma koordinatoram un diviem sociālajiem darbiniekiem – Bizness Latvija 1.5 GB.</t>
  </si>
  <si>
    <t>Sakaru pakalpojumu sniedzējs ir LAA sadarbības partneris - Tele 2. Pieslēgumu cenas (ar LAA piemēroto atlaidi) : Bizness Eiropa Bezlimits 14.52 euro un  Tarifu plāns Bizness Latvija 1.5 GB 6.05 euro.</t>
  </si>
  <si>
    <t>1) Sakaru pakalpojumu izmaksas mēnesī 61.65 euro  = 3 darbinieki x 14.5 euro + 3 darbinieki x 6.05 euro;
2) Sakaru pakalpojumu kopējās izmaksas 739.8 euro = 123.36 euro x 12 mēneši;
3) Sakaru pakalpojumu izmaksas uz vienu nodarbību 2.8 euro = 739.8 euro / 264 nodarbības.
Pārbaude: 2.8 x 264 = 739.2 euro (noapaļošanas starpība 0.6).</t>
  </si>
  <si>
    <t>Priekšizpētes grupu nodarbības informācijas izplatīšanai par autismu un iespējamu PR pakalpojuma saņemšanu</t>
  </si>
  <si>
    <t>Priekšizpētes grupu nodarbības izmaksas  ietver: atlīdzību ekspertam no Somijas 585 euro par nodarbību (sarunāta atlīdzība), atlīdzību tulkam24 euro stundā, atlīdzību vietējam speciālistam 271.9 euro par nodarbību.</t>
  </si>
  <si>
    <t>1) Priekšizpētes grupu nodarbības izmaksas vienai nodarbībai 928.9 euro = 585 euro + 271.9 euro + 24 euro x 3 stundas;
2) Kopējās izmaksas 1857.8 euro = 928.9 euro x 2 nodarbības.
Pārbaude: 7.04*264 = 1858.56 euro (noapaļošanas starpība 0.76 euro)</t>
  </si>
  <si>
    <t>Atbalsta grupu vadītāju - līdzinieku profesionālās kompetences pilnveide</t>
  </si>
  <si>
    <t>Supervīzijas</t>
  </si>
  <si>
    <t>Tiek nodrošinātas divas reizes gadā, vēlams pirms atbalsta grupu vadītāju - līdzinieku plānotajām apmācībām, lai popularizētu PR pakalpojumu (informācija par PR pakalpojumu "nonāktu" līdz visiem, kuriem tā ir nepieciešama) un veicinātu iesaistīties cilvēkus PR pakalpojuma nodrošināšanā – vispārīgo atbalsta grupu vadīšanā.</t>
  </si>
  <si>
    <t>Atbalsta grupu vadītāju - līdzinieku papildus apmācības (profesionālās kompetences pilnveide)</t>
  </si>
  <si>
    <t xml:space="preserve">Vienu līdz divas reizes gadā līdziniekiem, kuri turpina vadīt vai plāno turpināt vadīt vispārīgās atbalsta grupas, paredzēts piedalīties papildus apmācībās, kas viņiem nodrošinās nepieciešamo prasmju uzlabošanu un veicinās to attīstīšanu. </t>
  </si>
  <si>
    <t>Izmaksu apmērs balstīts uz izmēģinājumprojekta laikā gūto pieredzi un izmaksām.
Pasākums ietver: izmitināšanu un telpu īri apmācībām 2300 euro, divu vietējo speciālistu atlīdzība 543.8 euro (271.9 euro x 2 speciālisti),  130 euro transporta izdevumus.
Pieņēmumi aprēķinam: Pasākumā piedalās 21 cilvēks, no kuriem 16 ir apmācāmie līdzinieki un 5 pasniedzēji un mācību organizētāji, ceļa izdevumus prasīs segt 6 dalībnieki (gandrīz trešdaļa), no tiem 4 iesniegs ceļa zīmes un 2 sabiedriskā transporta biļetes. Vidējais norēķins par degvielu vienam dalībniekam ir 26.36 euro un par biļetēm 12.29 euro.</t>
  </si>
  <si>
    <t>1) Transporta izmaksas 130 euro = 26.36 euro x 4 dalībnieki + 12.29 x 2 dalībnieki;
2) Vienas klātienes apmācību izmaksas 2973.8 euro = 2300 euro izmitināšana + 543.8 euro speciālistu atlīdzība + 130 euro transporta izmaksas;
3) Apmācību izmaksas uz vienu nodarbību 37.17 euro = 2973.8 euro / 80 nodarbībām.
Pārbaude: 37.17 x 80 = 2973.6 euro (noapaļošanas starpība 0.2).</t>
  </si>
  <si>
    <t>Ceļa un izmitināšanas izdevumi reģionālo radošo darbnīcu speciālistiem</t>
  </si>
  <si>
    <t>Kafijas pauzes klātienes nodarbībās</t>
  </si>
  <si>
    <t>Telpu noma  klātienes grupu nodarbībām  ārpus LAA telpām</t>
  </si>
  <si>
    <t xml:space="preserve">Izmaksu apmērs balstīts uz izmēģinājumprojekta laikā gūto pieredzi un izmaksām. Vidējā cena telpu nomai radošajām darbnīcām stundā 17 euro stundā ārpus Rīgas un 25 euro stundā Rīgā, vispārīgajām atbalsta grupām 19 euro stundā. </t>
  </si>
  <si>
    <t>1) Telpu noma radošo darbnīcu nodarbībai ārpus Rīgas 102 euro = 6 stundas (5 stundas nodarbība un 1 stunda pirms/pēc nodarbības) x 17 euro;
2) Telpu noma radošo darbnīcu nodarbībai Rīgā 150 euro = 6 stundas x 25 euro;
3) Telpu nomas izmaksas kopā 5052 euro = 102 euro x 26 nodarbības + 150 euro x 16 nodarbības;
4) Telpu nomas izmaksas uz vienu radošās darbnīcas nodarbību 60.14 euro = 5052 euro /84 nodarbības.
Pārbaude: 60.14 x 84 = 5051.76 (noapaļošanas starpība 0.24)</t>
  </si>
  <si>
    <t>Ārpus LAA plānotas 49 vispārīgo atbalsta grupu nodarbības.</t>
  </si>
  <si>
    <t>Ārpus LAA plānotas 42 radošo darbnīcu nodarbības, t.sk. 26 ārpus Rīgas un 16 Rīgā. Rīgā plānots nomāt telpas divu radošo darbnīcu grupām "Ritms un kustība", jo tām nepieciešama piemērota telpa dažādām fiziskām aktivitātēm, piemēram, lēkāšanai.</t>
  </si>
  <si>
    <t>1) Telpu noma vispārīgo atbalsta grupu nodarbībai 57 euro = 3 stundas (2 stundas nodarbība un 1 stunda pirms/pēc nodarbības) x 19 euro;
2) Telpu nomas kopējās izmaksas 2793 euro = 57 euro x 49 nodarbības;
3) Telpu nomas izmaksa uz vienu nodarbību 45.05 euro = 2793 euro / 62 nodarbības.
Pārbaude: 45.05 x 62 = 2793.1 euro (noapaļošanas starpība 0.1).</t>
  </si>
  <si>
    <t xml:space="preserve">1) Grupu supervīziju skaits mēnesī 5 = 42 līdzinieki un eksperti / 8 dalībnieki grupā;
2) Grupu supervīziju skaits gadā 26 = 5 grupu supervīzijas x 5 reizes gadā + 1 grupu supervīzija pasākuma ietvaros;
3) Kopējās grupu supervīziju izmaksas 5300 euro = 25 grupu supervīzijas x 200 euro + 1 grupu supervīzija pasākuma ietvaros x 300 euro;
4) Grupu supervīziju izmaksas uz vienu nodarbību 66.25 euro = 5300 euro / 80 nodarbībām.
5) Individuālo supervīziju skaits 21 = 42 līdzinieki un eksperti * 50%;
6) Individuālo supervīziju kopējās izmaksas 1260 euro = 21 līdzinieki un eksperti x 60 euro;
7) Individuālo supervīziju izmaksas uz vienu nodarbību 15.75 euro = 1260 euro/ 80 nodarbības;
8) Kopējās supervīziju izmaksas uz vienu nodarbību 82 euro = 15.75 euro + 66.25 euro </t>
  </si>
  <si>
    <t>Administrēšanas izmaksas*</t>
  </si>
  <si>
    <t>*  Pamatojoties uz Sociālo pakalpojumu un sociālās palīdzības likuma 13. panta otrās daļas 3 prim punktu, aprēķinot PR pakalpojuma vienas vienības izmaksas izmēģinājumprojektam, tiek pieņemts, ka administrēšanas izdevumiem tiek novirzīti 10 % no kopējām aprēķinātajām atlīdzības izmaksām pakalpojuma nodrošināšanā iesaistītajiem speciālistiem nn ar PR pakalpojuma prasību nodrošināšanu saistītās izmaksas. Administrēšanas izdevumus pakalpojumu sniedzējs var novirzīt atalgojumam (grāmatvedis, finansists), komunālajiem pakalpojumiem un telpu īrei, sakaru pakalpojumiem, degvielai, biroja un kancelejas precēm utt., t.i. visiem izdevumiem, kas rodas, lai nodrošinātu attiecīgo pakalpojumu.</t>
  </si>
  <si>
    <t xml:space="preserve">PR pakalpojuma katra veida attālinātās un klātienes nodarbības izmaksu/cenas aprēķins </t>
  </si>
  <si>
    <t>7.3.pielikums</t>
  </si>
  <si>
    <t>PR pakalpojuma nodrošināšanai nepieciešamā finansējuma aprēķins</t>
  </si>
  <si>
    <t>Izmēģinājumprojekta laikā vidējais iesniegtais ceļa izdevumu -  kompensācijas apmērs vienam radošo darbnīcu vadītājam bija 69 euro (vidēji 9 % starppilsētu autobusu biļetes un 91% degvielas kompensācija saskaņā ar iesniegto ceļa zīmi). Naktsmītnes izmaksas uz vienu nakti ap 65 euro.</t>
  </si>
  <si>
    <t>Radošām darbnīcām paredzētas trīs reģionālās grupas ārpus Rīgas ar 26 nodarbībām kopumā. Ceļa izdevumi rēķināmi uz 9 radošo grupu vadītājiem (katrā grupā trīs vadītāji). Izmēģinājumprojekta laikā 4 jeb 50% no reģionālo grupu vadītājiem prasīja kompensēt ceļa izdevumus. Tiek pieņemts, ka turpmāk ceļa izdevumu atlīdzināšanu varētu prasīt nedaudz vairāk par pusi, t.i. 5 speciālisti jeb 55%.
Tā kā radošo darbnīcu speciālisti praktiski visi ir no Rīgas, ir nepieciešamība viņiem nodrošināt palikšanu uz vietas gadījumos, ja vairākas radošo darbnīcu nodarbības ir plānotas pēc kārtas attālos Latvijas reģionos. Tiek pieņemts, ka kompensēt vajadzēs 7 naktis.</t>
  </si>
  <si>
    <t>Ceļa izdevumi vispārīgo atbalsta grupu vadītājiem</t>
  </si>
  <si>
    <t>Ceļa izdevumi un izmitināšana radošo darbnīcu vadītājiem</t>
  </si>
  <si>
    <t>Izmēģinājumprojekta laikā vidējais iesniegtais ceļa izdevumu - degvielas kompensācijas apmērs vienam vispārīgo atbalsta grupu vadītājam bija 66.5 euro (vidēji 40% starppilsētu autobusu biļetes un 60% degvielas kompensācija saskaņā ar iesniegto ceļa zīmi).</t>
  </si>
  <si>
    <t>Izmēģinājumprojekta laikā apmācīti 20 līdzinieki, turpmāk tiek paredzētas jaunu atbalsta grupu vadītāju apmācības. Tiek pieņemts, ka optimālais skaits esošo atbalsta grupu (līdz 13 grupas) nodarbību (80 nodarbības) nodrošināšanai būtu 30 līdzinieki.
Izmēģinājumprojekta laikā atlīdzīnāt ceļa izdevumus prasīja 3 no 20 apmācītajiem līdziniekiem, t.i. 15%. Tiek pieņemts, ka turpmāk ceļa izdevumu atlīdzināšanu varētu pieprasīt vairāk līdzinieku, t.i. 80% jeb 24 līdzinieku.</t>
  </si>
  <si>
    <t>1) Ceļa izdevumu kompensēšana vispārīgo atbalsta grupu vadītājiem - līdziniekiem 1596 euro = 66.5 euro x 24 līdzinieki;
2) Izmaksa uz vienu nodarbību 25.74 euro= 1596 euro / 62 nodarbības.
Pārbaude: 25.74 x 62 = 1595.88 (noapaļošanas starpība 0.12).</t>
  </si>
  <si>
    <t>1) Ceļa izdevumu kompensēšana radošo darbnīcu speciālistiem 345 euro= 69 euro x 5 speciālisti;
2) Naktsmītnes kopējās izmaksas 455 euro = 7 naktis x 65 euro.
3) Kopējās ceļa izdevumu un nakšņošanas izmaksas radošo darbnīcu vadītājiem 800 euro = 345 eurp + 455 euro.
4) Izmaksa uz vienu nodarbību 9.52 euro = 800 euro / 84 nodarbības.
Pārbaude: 9.52 x 84 nodarbības = 799.68 (noapaļošanas starpība 0.32).</t>
  </si>
  <si>
    <t xml:space="preserve">Izmēģinājumprojekta laikā vidēji uz vienu vispārīgās atbalsta grupas nodarbību bija 12.5 euro un vidēji uz vienu atbalsta grupas dalībnieku ir 2.5 euro (12.5 euro / 5 vidējais dalībnieku skaits nodarbībā, ieskaitot grupas vadītājus). 
</t>
  </si>
  <si>
    <t>Kafijas pauzes izmaksas vispārīgās atbalsta grupu nodarbībās</t>
  </si>
  <si>
    <t>Kafijas pauzes izmaksas radošo darbnīcu un specializēto atbalsta grupu nodarbībās</t>
  </si>
  <si>
    <t>Specializētās atbalsta grupas attālināti</t>
  </si>
  <si>
    <t>Specializētās atbalsta grupas klātienē bērniem</t>
  </si>
  <si>
    <t>Specializētās atbalsta grupas klātienē vecākiem</t>
  </si>
  <si>
    <t>Izmēģinājumprojekta laikā vidēji uz vienu radošo darbnīcu un klātienes Specializētās atbalsta grupas nodarbību ir 38.5 euro un vidēji uz vienu dalībnieku ir 3.5 euro (38.5/ 11 vidējais dalībnieku skaits nodarbībās, ieskaitot grupas vadītājus).</t>
  </si>
  <si>
    <t>Kafijas pauzes tiek plānotas  62 klātienes vispārīgo atbalsta grupu nodarbībām, katrā no tām vidēji piedalās 5 dalībnieki.</t>
  </si>
  <si>
    <t>Izmaksa uz vienu nodarbību 12.5 euro = 5 dalībnieki x 2.5 euro.</t>
  </si>
  <si>
    <t>Izmaksa uz vienu nodarbību 38,5 euro = 11 dalībnieki x 3.5 euro.</t>
  </si>
  <si>
    <t>Kafijas pauzes tiek plānotas 84 radošo darbnīcu nodarbībām un 44 specializēto atbalsta grupu klātienes nodarbībām. Vidējais dalībnieku skaits nodarbībās ir 11. Izmaksas uz dalībnieku šajās grupās ir lielākas, kas saistītas ar to, ka bērnus uz nodarbību atved vecāki, kuri gaida bērnus, un nav noteikta kafijas pauzes laika un ierašanās laiks uz nodarbību ir dažāds, t.i. cienasts bērniem, vecākiem un pasniedzējiem pēc iespējas.</t>
  </si>
  <si>
    <t xml:space="preserve">Izmēģinājumprojekta laikā vidēji uz vienu radošo darbnīcu darba materiāli iegādāti 133 euro apmērā un speciālizēto atabalsta grupu klātienes nodarbību bērniem – 69 euro apmērā. </t>
  </si>
  <si>
    <t>Izmēģinājumprojekta laikā iegādāti materiāli, kurus var izmantot turpmākās radošo darbnīcu nodarbibās un kuri ilgi nenolietojas (piemēram, galda spēles, lego komplekti, vingrošanas paklāji šķēres u.c.), tādēļ  turpmāk radošo darbnīcu vienas nodarbības materiālu izmaksas samazinātas līdz 95 euro.</t>
  </si>
  <si>
    <t xml:space="preserve">Izmēģinājumprojekta laikā iegādāti materiāli  telpas iekārtojumam un pašas nodarbības veiksmīgai vadīšanai, tādēļ  turpmāk specializēto atbalsta grupu klātienes vienas nodarbības materiālu izmaksas samazinātas līdz 50 euro.
</t>
  </si>
  <si>
    <t>7.2. pielikums</t>
  </si>
  <si>
    <t>1) Tulka izmaksas uz vienu apmācāmo līdzinieku ir 27 euro (432 euro kopējie tulkošanas pakalpojumi / 16 dalībnieki). 
2) Kopējie tulkošanas pakalpojumi ir 432 euro (18 stundas x tulkotāja atlīdzība 24 euro/ stundā). 
3) Līdznieku apmācības ilgst 18 sundas (3 nodarbības klātienē x 6 stundas). Stundas likme lekcijas tulkošanai ir 24 euro.  
Izvēlētais pakalpojuma sniedzējs ir mācību centrs ATBALSTS, ar kuru LAA ir izveidojusies laba sadarbība (tulkam ir pieredze līdzīga satura pasākumos un pakalpojuma sniedzējs pārzin AST jomas specifiku).</t>
  </si>
  <si>
    <t xml:space="preserve">Profesionāļa - vietējā speciālista atlīdzība ir 543.8 euro (271.90 euro * 2 nodarbības = 543.8euro) un viena līdzinieka apmācību izmaksa ir 33.99 euro (543.8 euro /16 apmācāmie līdzinieki = 33.99 euro).  Pēc apmācību nodarbībām klātienē tiek paredzētas divas follow-up nodarbības attālināti, kuras vada profesionālis - vietējais speciālists. Katra nodarbība ilgst 2 stundas. </t>
  </si>
  <si>
    <r>
      <t xml:space="preserve">Izmitināšanas, ēdināšanas un telpu nomas pasākumam izmaksas </t>
    </r>
    <r>
      <rPr>
        <b/>
        <sz val="12"/>
        <rFont val="Times New Roman"/>
        <family val="1"/>
      </rPr>
      <t>plānotas uz 21 dalībniekiem</t>
    </r>
    <r>
      <rPr>
        <sz val="12"/>
        <rFont val="Times New Roman"/>
        <family val="1"/>
      </rPr>
      <t xml:space="preserve">, no kuriem divi ir profesionāļi - somu speciālisti, PR pakalpojuma vadītājs, PR pakalpojuma koordinators, tulks un 16 apmācāmie atbalsta grupu vadītāji līdzinieki.
1) Kopējie dalībnieku izmitināšanas, ēdināšanas un telpu nomas pasākumam izdevumi ir </t>
    </r>
    <r>
      <rPr>
        <b/>
        <sz val="12"/>
        <rFont val="Times New Roman"/>
        <family val="1"/>
      </rPr>
      <t>2400 euro (114.28 euro par vienu dalībnieku x 21 dalībnieki)</t>
    </r>
    <r>
      <rPr>
        <sz val="12"/>
        <rFont val="Times New Roman"/>
        <family val="1"/>
      </rPr>
      <t>. 
2) Dalībnieku izmitināšanas, ēdināšanas un telpu nomas pasākumam izdevumi uz vienu apmācāmo līdzinieku ir 150 euro (2400 euro dalīts ar 16 apmācāmiem līdziniekiem).</t>
    </r>
  </si>
  <si>
    <t>Tiek paredzēts apmācīt 16 līdziniekus. Tiek paredzēts, ka līdzīgi kā izmēģinājumprojektā puse no tiem jeb 8 līdznieki dzīvos ārpus Rīgas. Tiek pieņemts, ka no 8 līdziniekiem nedaudz vairāk kā puse, t.i. pieci paprasīs kompensēt ceļa izdevumus – viens iesniegs autobusa  biļetes apmaksai un četri iesniegs ceļa zīmes degvielas kompensēšanai. Ņemot vērā izmēģinājumprojektā apmācīto līdzinieku dzīves vietu pilsētas un to attālumu, tiek pieņemts, ka kompensējamais autobusu biļetes apmērs būs 12 euro un kompensējamie ceļa izdevumi pēc iesniegtajām ceļa zīmēm būs 116 euro.</t>
  </si>
  <si>
    <t>Profesionāļa - somu speciālista atlīdzība ir 3340 euro un viena līdzinieka apmācību izmaksa ir 208.75 euro (3240 euro / 16 apmācāmie līdzinieki). Atlīdzība ietvert 3 apmācību nodarbības klātienē, katra no tām ilgst 6 stundas. Apmācību vada divi profesionāļi - somu speciālisti. Vienā līdzinieku apmācību grupā plānots apmācīt 16 atbalsta grupu vadītājus - līdziniekus.</t>
  </si>
  <si>
    <t>Plānots, ka pieredzes ekspertus apmācīs divi ārvalstu pasniedzēji un viens vietējasi speciālists. Kopējais pieredzas ekspertu apmācību ilgums ir 16 stundas. Atlīdzība abiem ārvalstu speciālistiem ir 2880 euro un atlīdzība vietējam speciālistam – 750 euro. Atlīdzības apmērs ir noteikts atbisltoši speciālistu sniegtajam piedāvājumam un ietver ceļa izdevumus. Speciālisti  izvēlēti, ņemot vērā viņu pieredzi un kvalifikāciju.</t>
  </si>
  <si>
    <t xml:space="preserve">Vispārīgā atbalsta grupa klātienē </t>
  </si>
  <si>
    <t xml:space="preserve">Vispārīgā atbalsta grupa attālināti </t>
  </si>
  <si>
    <t xml:space="preserve">Specializētā atbalsta grupa attālināti </t>
  </si>
  <si>
    <t>Specializētā atbalsta grupa klātienē vecākiem</t>
  </si>
  <si>
    <t>Specializētā atbalsta grupa klātienē bērniem</t>
  </si>
  <si>
    <t>Radošās darbnīcas klātienē</t>
  </si>
  <si>
    <t>Viena grupu nodarbība</t>
  </si>
  <si>
    <r>
      <t xml:space="preserve">PR pakalpojuma nodrošināšanai </t>
    </r>
    <r>
      <rPr>
        <b/>
        <sz val="14"/>
        <color indexed="8"/>
        <rFont val="Times New Roman"/>
        <family val="1"/>
      </rPr>
      <t>nepieciešamais kopējais finansējums</t>
    </r>
    <r>
      <rPr>
        <sz val="14"/>
        <color indexed="8"/>
        <rFont val="Times New Roman"/>
        <family val="1"/>
      </rPr>
      <t xml:space="preserve"> realizējot visas plānotās nodarbības</t>
    </r>
  </si>
  <si>
    <t>PR pakalpojuma katra veida nodarbības izmaksu/cenas aprēķins</t>
  </si>
  <si>
    <t>Vispārējās atbalsta grupas vienas nodarbības izmaksas/cena</t>
  </si>
  <si>
    <t>Speciālās atbalsta grupas vienas nodarbības izmaksas/cena</t>
  </si>
  <si>
    <t>Atlīdzība PR pakalpojuma vadītājam, koordinatoriem un sociālajiem darbiniekiem</t>
  </si>
  <si>
    <t>Priekšizpētes grupu nodarbības informācijas izplatīšanai par autismu un  PR pakalpojuma saņemšanas iespējām</t>
  </si>
  <si>
    <t>PR pakalpojuma nodrošināšanu   izmaksas</t>
  </si>
  <si>
    <t xml:space="preserve">Telpu noma  klātienes grupu nodarbībām </t>
  </si>
  <si>
    <t>Telpu noma PR pakalpojuma ieviešanas nodrošināšanai</t>
  </si>
  <si>
    <t>8.1.pielikums</t>
  </si>
  <si>
    <t>8.2.pielikums</t>
  </si>
  <si>
    <t>8.3.pielikums</t>
  </si>
  <si>
    <t>8.4.pielikums</t>
  </si>
  <si>
    <t>8.5.pielikums</t>
  </si>
  <si>
    <t>8.6.pielikums</t>
  </si>
  <si>
    <t>8.6. pielikums</t>
  </si>
  <si>
    <t>8.5. pielikums</t>
  </si>
  <si>
    <t>8.1 pielikums</t>
  </si>
  <si>
    <r>
      <t xml:space="preserve">                           </t>
    </r>
    <r>
      <rPr>
        <b/>
        <sz val="14"/>
        <rFont val="Times New Roman"/>
        <family val="1"/>
      </rPr>
      <t>8. pielikums</t>
    </r>
  </si>
  <si>
    <t>2. nodevuma 
Gala ziņojums “Psihosociālās rehabilitācijas pakalpojuma 
bērniem ar funkcionāliem traucējumiem un 
viņu likumiskajiem pārstāvjiem vai audžuģimenei apraksts”</t>
  </si>
  <si>
    <t>8.2 pielikums</t>
  </si>
  <si>
    <t>8.3. pielikums</t>
  </si>
  <si>
    <t>PR pakalpojuma atbalsta grupu vadītāju - līdzinieku mācības</t>
  </si>
  <si>
    <t>PR pakalpojuma atbalsta grupu vadītāju - pieredzes ekspertu mācības</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</si>
</sst>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Jā&quot;;&quot;Jā&quot;;&quot;Nē&quot;"/>
    <numFmt numFmtId="179" formatCode="&quot;Patiess&quot;;&quot;Patiess&quot;;&quot;Aplams&quot;"/>
    <numFmt numFmtId="180" formatCode="&quot;Ieslēgts&quot;;&quot;Ieslēgts&quot;;&quot;Izslēgts&quot;"/>
    <numFmt numFmtId="181" formatCode="[$€-2]\ #\ ##,000_);[Red]\([$€-2]\ #\ ##,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 ##0.00"/>
    <numFmt numFmtId="194" formatCode="&quot;Yes&quot;;&quot;Yes&quot;;&quot;No&quot;"/>
    <numFmt numFmtId="195" formatCode="&quot;True&quot;;&quot;True&quot;;&quot;False&quot;"/>
    <numFmt numFmtId="196" formatCode="&quot;On&quot;;&quot;On&quot;;&quot;Off&quot;"/>
    <numFmt numFmtId="197" formatCode="[$€-2]\ #,##0.00_);[Red]\([$€-2]\ #,##0.00\)"/>
    <numFmt numFmtId="198" formatCode="0.0000000000000"/>
    <numFmt numFmtId="199" formatCode="0.000000000000"/>
    <numFmt numFmtId="200" formatCode="0.00000000000"/>
    <numFmt numFmtId="201" formatCode="0.0%"/>
    <numFmt numFmtId="202" formatCode="0.0000000000000000"/>
    <numFmt numFmtId="203" formatCode="0.000000000000000"/>
    <numFmt numFmtId="204" formatCode="0.00000000000000"/>
  </numFmts>
  <fonts count="64">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sz val="10"/>
      <name val="Arial"/>
      <family val="2"/>
    </font>
    <font>
      <b/>
      <sz val="12"/>
      <name val="Times New Roman"/>
      <family val="1"/>
    </font>
    <font>
      <b/>
      <sz val="14"/>
      <color indexed="8"/>
      <name val="Times New Roman"/>
      <family val="1"/>
    </font>
    <font>
      <sz val="14"/>
      <color indexed="8"/>
      <name val="Times New Roman"/>
      <family val="1"/>
    </font>
    <font>
      <b/>
      <sz val="11"/>
      <color indexed="52"/>
      <name val="Calibri"/>
      <family val="2"/>
    </font>
    <font>
      <sz val="11"/>
      <color indexed="10"/>
      <name val="Calibri"/>
      <family val="2"/>
    </font>
    <font>
      <u val="single"/>
      <sz val="11"/>
      <color indexed="30"/>
      <name val="Calibri"/>
      <family val="2"/>
    </font>
    <font>
      <sz val="11"/>
      <color indexed="62"/>
      <name val="Calibri"/>
      <family val="2"/>
    </font>
    <font>
      <sz val="11"/>
      <color indexed="9"/>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2"/>
      <color indexed="8"/>
      <name val="Calibri"/>
      <family val="2"/>
    </font>
    <font>
      <sz val="12"/>
      <color indexed="8"/>
      <name val="Times New Roman"/>
      <family val="1"/>
    </font>
    <font>
      <sz val="11"/>
      <name val="Calibri"/>
      <family val="2"/>
    </font>
    <font>
      <b/>
      <sz val="12"/>
      <color indexed="8"/>
      <name val="Times New Roman"/>
      <family val="1"/>
    </font>
    <font>
      <sz val="11"/>
      <color indexed="8"/>
      <name val="Times New Roman"/>
      <family val="1"/>
    </font>
    <font>
      <sz val="16"/>
      <color indexed="9"/>
      <name val="Times New Roman"/>
      <family val="1"/>
    </font>
    <font>
      <i/>
      <sz val="12"/>
      <color indexed="8"/>
      <name val="Times New Roman"/>
      <family val="1"/>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sz val="11"/>
      <color theme="0"/>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1"/>
      <color rgb="FF0000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Calibri"/>
      <family val="2"/>
    </font>
    <font>
      <sz val="12"/>
      <color theme="1"/>
      <name val="Times New Roman"/>
      <family val="1"/>
    </font>
    <font>
      <b/>
      <sz val="12"/>
      <color theme="1"/>
      <name val="Times New Roman"/>
      <family val="1"/>
    </font>
    <font>
      <sz val="11"/>
      <color theme="1"/>
      <name val="Times New Roman"/>
      <family val="1"/>
    </font>
    <font>
      <sz val="16"/>
      <color theme="0"/>
      <name val="Times New Roman"/>
      <family val="1"/>
    </font>
    <font>
      <i/>
      <sz val="12"/>
      <color theme="1"/>
      <name val="Times New Roman"/>
      <family val="1"/>
    </font>
    <font>
      <sz val="14"/>
      <color rgb="FF000000"/>
      <name val="Times New Roman"/>
      <family val="1"/>
    </font>
    <font>
      <sz val="14"/>
      <color theme="1"/>
      <name val="Times New Roman"/>
      <family val="1"/>
    </font>
    <font>
      <b/>
      <sz val="14"/>
      <color rgb="FF000000"/>
      <name val="Times New Roman"/>
      <family val="1"/>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lightDown"/>
    </fill>
    <fill>
      <patternFill patternType="solid">
        <fgColor theme="0" tint="-0.04997999966144562"/>
        <bgColor indexed="64"/>
      </patternFill>
    </fill>
    <fill>
      <patternFill patternType="solid">
        <fgColor theme="0"/>
        <bgColor indexed="64"/>
      </patternFill>
    </fill>
    <fill>
      <patternFill patternType="solid">
        <fgColor rgb="FFE7F1F9"/>
        <bgColor indexed="64"/>
      </patternFill>
    </fill>
    <fill>
      <patternFill patternType="lightUp"/>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0" fillId="0" borderId="0" applyNumberFormat="0" applyFill="0" applyBorder="0" applyAlignment="0" applyProtection="0"/>
    <xf numFmtId="0" fontId="4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0" applyNumberFormat="0" applyBorder="0" applyAlignment="0" applyProtection="0"/>
    <xf numFmtId="0" fontId="6" fillId="0" borderId="0">
      <alignment/>
      <protection/>
    </xf>
    <xf numFmtId="0" fontId="45"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9" fillId="0" borderId="6" applyNumberFormat="0" applyFill="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cellStyleXfs>
  <cellXfs count="227">
    <xf numFmtId="0" fontId="0" fillId="0" borderId="0" xfId="0" applyFont="1" applyAlignment="1">
      <alignment/>
    </xf>
    <xf numFmtId="0" fontId="54" fillId="0" borderId="0" xfId="0" applyFont="1" applyAlignment="1">
      <alignment horizontal="left" vertical="center" indent="5"/>
    </xf>
    <xf numFmtId="0" fontId="55" fillId="0" borderId="10" xfId="0" applyFont="1" applyBorder="1" applyAlignment="1">
      <alignment horizontal="center" vertical="center"/>
    </xf>
    <xf numFmtId="0" fontId="3" fillId="0" borderId="10" xfId="0" applyFont="1" applyBorder="1" applyAlignment="1">
      <alignment horizontal="left" vertical="center" wrapText="1"/>
    </xf>
    <xf numFmtId="0" fontId="0" fillId="0" borderId="0" xfId="0" applyAlignment="1">
      <alignment/>
    </xf>
    <xf numFmtId="0" fontId="30" fillId="0" borderId="0" xfId="0" applyFont="1" applyAlignment="1">
      <alignment/>
    </xf>
    <xf numFmtId="0" fontId="0" fillId="0" borderId="11" xfId="0" applyBorder="1" applyAlignment="1">
      <alignment/>
    </xf>
    <xf numFmtId="0" fontId="0" fillId="0" borderId="0" xfId="0" applyAlignment="1">
      <alignment/>
    </xf>
    <xf numFmtId="0" fontId="55" fillId="0" borderId="10" xfId="0" applyFont="1" applyBorder="1" applyAlignment="1">
      <alignment wrapText="1"/>
    </xf>
    <xf numFmtId="0" fontId="55" fillId="0" borderId="0" xfId="0" applyFont="1" applyAlignment="1">
      <alignment/>
    </xf>
    <xf numFmtId="0" fontId="55" fillId="0" borderId="10" xfId="0" applyFont="1" applyBorder="1" applyAlignment="1">
      <alignment horizontal="center"/>
    </xf>
    <xf numFmtId="0" fontId="0" fillId="0" borderId="10" xfId="0" applyBorder="1" applyAlignment="1">
      <alignment/>
    </xf>
    <xf numFmtId="0" fontId="56" fillId="0" borderId="10" xfId="0" applyFont="1" applyBorder="1" applyAlignment="1">
      <alignment horizontal="right"/>
    </xf>
    <xf numFmtId="0" fontId="55" fillId="0" borderId="0" xfId="0" applyFont="1" applyAlignment="1">
      <alignment wrapText="1"/>
    </xf>
    <xf numFmtId="0" fontId="55" fillId="0" borderId="10" xfId="0" applyFont="1" applyFill="1" applyBorder="1" applyAlignment="1">
      <alignment/>
    </xf>
    <xf numFmtId="0" fontId="3" fillId="0" borderId="10" xfId="0"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4" fontId="56" fillId="0" borderId="10" xfId="0" applyNumberFormat="1" applyFont="1" applyBorder="1" applyAlignment="1">
      <alignment horizontal="right" vertical="center"/>
    </xf>
    <xf numFmtId="0" fontId="56" fillId="0" borderId="10" xfId="0" applyFont="1" applyFill="1" applyBorder="1" applyAlignment="1">
      <alignment wrapText="1"/>
    </xf>
    <xf numFmtId="4" fontId="0" fillId="0" borderId="0" xfId="0" applyNumberFormat="1" applyAlignment="1">
      <alignment/>
    </xf>
    <xf numFmtId="2" fontId="56" fillId="0" borderId="10" xfId="0" applyNumberFormat="1" applyFont="1" applyFill="1" applyBorder="1" applyAlignment="1">
      <alignment wrapText="1"/>
    </xf>
    <xf numFmtId="4" fontId="55" fillId="0" borderId="10" xfId="0" applyNumberFormat="1" applyFont="1" applyFill="1" applyBorder="1" applyAlignment="1">
      <alignment horizontal="center"/>
    </xf>
    <xf numFmtId="0" fontId="3" fillId="0" borderId="10" xfId="0" applyFont="1" applyFill="1" applyBorder="1" applyAlignment="1">
      <alignment wrapText="1"/>
    </xf>
    <xf numFmtId="0" fontId="55" fillId="0" borderId="12" xfId="0" applyFont="1" applyBorder="1" applyAlignment="1">
      <alignment vertical="top" wrapText="1"/>
    </xf>
    <xf numFmtId="0" fontId="55" fillId="0" borderId="0" xfId="0" applyFont="1" applyAlignment="1">
      <alignment horizontal="right"/>
    </xf>
    <xf numFmtId="2"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182"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10" xfId="0" applyFont="1" applyFill="1" applyBorder="1" applyAlignment="1">
      <alignment/>
    </xf>
    <xf numFmtId="4" fontId="55" fillId="33" borderId="10" xfId="0" applyNumberFormat="1" applyFont="1" applyFill="1" applyBorder="1" applyAlignment="1">
      <alignment horizontal="center"/>
    </xf>
    <xf numFmtId="0" fontId="55" fillId="34" borderId="12" xfId="0" applyFont="1" applyFill="1" applyBorder="1" applyAlignment="1">
      <alignment vertical="center" wrapText="1"/>
    </xf>
    <xf numFmtId="0" fontId="57" fillId="0" borderId="0" xfId="0" applyFont="1" applyAlignment="1">
      <alignment/>
    </xf>
    <xf numFmtId="0" fontId="3" fillId="35" borderId="10" xfId="35" applyFont="1" applyFill="1" applyBorder="1" applyAlignment="1">
      <alignment horizontal="right"/>
    </xf>
    <xf numFmtId="1" fontId="0" fillId="0" borderId="0" xfId="0" applyNumberFormat="1" applyAlignment="1">
      <alignment/>
    </xf>
    <xf numFmtId="0" fontId="3" fillId="0" borderId="12" xfId="0" applyFont="1" applyBorder="1" applyAlignment="1">
      <alignment horizontal="left" vertical="top" wrapText="1"/>
    </xf>
    <xf numFmtId="4" fontId="3" fillId="0" borderId="10" xfId="0" applyNumberFormat="1" applyFont="1" applyFill="1" applyBorder="1" applyAlignment="1">
      <alignment horizontal="center"/>
    </xf>
    <xf numFmtId="0" fontId="3" fillId="0" borderId="13" xfId="0" applyFont="1" applyFill="1" applyBorder="1" applyAlignment="1">
      <alignment wrapText="1"/>
    </xf>
    <xf numFmtId="0" fontId="3" fillId="0" borderId="10" xfId="0" applyFont="1" applyFill="1" applyBorder="1" applyAlignment="1">
      <alignment horizontal="left" vertical="center" wrapText="1"/>
    </xf>
    <xf numFmtId="2"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vertical="center"/>
    </xf>
    <xf numFmtId="2" fontId="3" fillId="0" borderId="10" xfId="0" applyNumberFormat="1" applyFont="1" applyBorder="1" applyAlignment="1">
      <alignment vertical="center"/>
    </xf>
    <xf numFmtId="0" fontId="55" fillId="0" borderId="0" xfId="0" applyFont="1" applyAlignment="1">
      <alignment horizontal="right"/>
    </xf>
    <xf numFmtId="0" fontId="55" fillId="34" borderId="10" xfId="0" applyFont="1" applyFill="1" applyBorder="1" applyAlignment="1">
      <alignment horizontal="center" vertical="center" wrapText="1"/>
    </xf>
    <xf numFmtId="0" fontId="0" fillId="0" borderId="0" xfId="0" applyFill="1" applyAlignment="1">
      <alignment/>
    </xf>
    <xf numFmtId="3" fontId="55" fillId="0" borderId="10" xfId="0" applyNumberFormat="1" applyFont="1" applyFill="1" applyBorder="1" applyAlignment="1">
      <alignment/>
    </xf>
    <xf numFmtId="0" fontId="55" fillId="35" borderId="10" xfId="0" applyFont="1" applyFill="1" applyBorder="1" applyAlignment="1">
      <alignment vertical="center" wrapText="1"/>
    </xf>
    <xf numFmtId="2" fontId="55" fillId="35" borderId="10" xfId="0" applyNumberFormat="1" applyFont="1" applyFill="1" applyBorder="1" applyAlignment="1">
      <alignment vertical="center" wrapText="1"/>
    </xf>
    <xf numFmtId="1" fontId="55" fillId="35" borderId="10" xfId="0" applyNumberFormat="1" applyFont="1" applyFill="1" applyBorder="1" applyAlignment="1">
      <alignment vertical="center"/>
    </xf>
    <xf numFmtId="0" fontId="55" fillId="35" borderId="10" xfId="0" applyFont="1" applyFill="1" applyBorder="1" applyAlignment="1">
      <alignment vertical="center"/>
    </xf>
    <xf numFmtId="0" fontId="55" fillId="35" borderId="12" xfId="0" applyFont="1" applyFill="1" applyBorder="1" applyAlignment="1">
      <alignment vertical="top" wrapText="1"/>
    </xf>
    <xf numFmtId="0" fontId="55" fillId="35" borderId="10" xfId="0" applyFont="1" applyFill="1" applyBorder="1" applyAlignment="1">
      <alignment vertical="top" wrapText="1"/>
    </xf>
    <xf numFmtId="2" fontId="55" fillId="35" borderId="10" xfId="0" applyNumberFormat="1" applyFont="1" applyFill="1" applyBorder="1" applyAlignment="1">
      <alignment vertical="center"/>
    </xf>
    <xf numFmtId="0" fontId="56" fillId="35" borderId="10" xfId="0" applyFont="1" applyFill="1" applyBorder="1" applyAlignment="1">
      <alignment wrapText="1"/>
    </xf>
    <xf numFmtId="2" fontId="56" fillId="35" borderId="10" xfId="0" applyNumberFormat="1" applyFont="1" applyFill="1" applyBorder="1" applyAlignment="1">
      <alignment wrapText="1"/>
    </xf>
    <xf numFmtId="0" fontId="0" fillId="35" borderId="10" xfId="0" applyFont="1" applyFill="1" applyBorder="1" applyAlignment="1">
      <alignment/>
    </xf>
    <xf numFmtId="4" fontId="56" fillId="35" borderId="10" xfId="0" applyNumberFormat="1" applyFont="1" applyFill="1" applyBorder="1" applyAlignment="1">
      <alignment horizontal="right" vertical="center"/>
    </xf>
    <xf numFmtId="0" fontId="55" fillId="35" borderId="0" xfId="0" applyFont="1" applyFill="1" applyAlignment="1">
      <alignment wrapText="1"/>
    </xf>
    <xf numFmtId="0" fontId="55" fillId="35" borderId="0" xfId="0" applyFont="1" applyFill="1" applyAlignment="1">
      <alignment/>
    </xf>
    <xf numFmtId="0" fontId="55" fillId="0" borderId="10" xfId="0" applyFont="1" applyFill="1" applyBorder="1" applyAlignment="1">
      <alignment horizontal="center" vertical="center" wrapText="1"/>
    </xf>
    <xf numFmtId="0" fontId="57" fillId="0" borderId="0" xfId="0" applyFont="1" applyFill="1" applyAlignment="1">
      <alignment/>
    </xf>
    <xf numFmtId="4" fontId="58" fillId="0" borderId="0" xfId="0" applyNumberFormat="1" applyFont="1" applyFill="1" applyAlignment="1">
      <alignment/>
    </xf>
    <xf numFmtId="9" fontId="57" fillId="0" borderId="0" xfId="56" applyFont="1" applyFill="1" applyAlignment="1">
      <alignment/>
    </xf>
    <xf numFmtId="201" fontId="57" fillId="0" borderId="0" xfId="56" applyNumberFormat="1" applyFont="1" applyFill="1" applyAlignment="1">
      <alignment/>
    </xf>
    <xf numFmtId="0" fontId="55" fillId="34" borderId="10" xfId="0" applyFont="1" applyFill="1" applyBorder="1" applyAlignment="1">
      <alignment horizontal="center" vertical="center" wrapText="1"/>
    </xf>
    <xf numFmtId="0" fontId="55" fillId="0" borderId="0" xfId="0" applyFont="1" applyAlignment="1">
      <alignment horizontal="right"/>
    </xf>
    <xf numFmtId="0" fontId="7" fillId="34" borderId="13" xfId="0" applyFont="1" applyFill="1" applyBorder="1" applyAlignment="1">
      <alignment horizontal="center" wrapText="1"/>
    </xf>
    <xf numFmtId="0" fontId="55" fillId="0" borderId="12" xfId="0" applyFont="1" applyFill="1" applyBorder="1" applyAlignment="1">
      <alignment vertical="center" wrapText="1"/>
    </xf>
    <xf numFmtId="0" fontId="55" fillId="0" borderId="10" xfId="0" applyFont="1" applyBorder="1" applyAlignment="1">
      <alignment/>
    </xf>
    <xf numFmtId="0" fontId="3" fillId="6" borderId="14" xfId="0" applyFont="1" applyFill="1" applyBorder="1" applyAlignment="1">
      <alignment vertical="center" wrapText="1"/>
    </xf>
    <xf numFmtId="0" fontId="3" fillId="6" borderId="15" xfId="0" applyFont="1" applyFill="1" applyBorder="1" applyAlignment="1">
      <alignment vertical="center" wrapText="1"/>
    </xf>
    <xf numFmtId="0" fontId="7" fillId="36" borderId="14" xfId="0" applyFont="1" applyFill="1" applyBorder="1" applyAlignment="1">
      <alignment horizontal="center" wrapText="1"/>
    </xf>
    <xf numFmtId="0" fontId="7" fillId="36" borderId="15" xfId="0" applyFont="1" applyFill="1" applyBorder="1" applyAlignment="1">
      <alignment horizontal="center" wrapText="1"/>
    </xf>
    <xf numFmtId="0" fontId="7" fillId="36" borderId="14" xfId="0" applyFont="1" applyFill="1" applyBorder="1" applyAlignment="1">
      <alignment horizontal="right" wrapText="1"/>
    </xf>
    <xf numFmtId="0" fontId="7" fillId="36" borderId="15" xfId="0" applyFont="1" applyFill="1" applyBorder="1" applyAlignment="1">
      <alignment horizontal="right" wrapText="1"/>
    </xf>
    <xf numFmtId="0" fontId="7" fillId="36" borderId="16" xfId="0" applyFont="1" applyFill="1" applyBorder="1" applyAlignment="1">
      <alignment horizontal="right" wrapText="1"/>
    </xf>
    <xf numFmtId="4" fontId="0" fillId="0" borderId="10" xfId="0" applyNumberFormat="1" applyBorder="1" applyAlignment="1">
      <alignment/>
    </xf>
    <xf numFmtId="0" fontId="0" fillId="6" borderId="16" xfId="0" applyFill="1" applyBorder="1" applyAlignment="1">
      <alignment/>
    </xf>
    <xf numFmtId="0" fontId="7" fillId="6" borderId="14" xfId="0" applyFont="1" applyFill="1" applyBorder="1" applyAlignment="1">
      <alignment vertical="center" wrapText="1"/>
    </xf>
    <xf numFmtId="0" fontId="59" fillId="0" borderId="10" xfId="0" applyFont="1" applyBorder="1" applyAlignment="1">
      <alignment horizontal="center"/>
    </xf>
    <xf numFmtId="0" fontId="59" fillId="0" borderId="10" xfId="0" applyFont="1" applyBorder="1" applyAlignment="1">
      <alignment wrapText="1"/>
    </xf>
    <xf numFmtId="0" fontId="55" fillId="0" borderId="17" xfId="0" applyFont="1" applyBorder="1" applyAlignment="1">
      <alignment wrapText="1"/>
    </xf>
    <xf numFmtId="0" fontId="55" fillId="0" borderId="18" xfId="0" applyFont="1" applyBorder="1" applyAlignment="1">
      <alignment wrapText="1"/>
    </xf>
    <xf numFmtId="0" fontId="55" fillId="0" borderId="13" xfId="0" applyFont="1" applyBorder="1" applyAlignment="1">
      <alignment horizontal="center"/>
    </xf>
    <xf numFmtId="0" fontId="55" fillId="0" borderId="12" xfId="0" applyFont="1" applyBorder="1" applyAlignment="1">
      <alignment horizontal="center"/>
    </xf>
    <xf numFmtId="0" fontId="55" fillId="0" borderId="19" xfId="0" applyFont="1" applyBorder="1" applyAlignment="1">
      <alignment horizontal="center"/>
    </xf>
    <xf numFmtId="0" fontId="56" fillId="36" borderId="16" xfId="0" applyFont="1" applyFill="1" applyBorder="1" applyAlignment="1">
      <alignment horizontal="right" wrapText="1"/>
    </xf>
    <xf numFmtId="0" fontId="55" fillId="0" borderId="12" xfId="0" applyFont="1" applyBorder="1" applyAlignment="1">
      <alignment horizontal="center" vertical="center"/>
    </xf>
    <xf numFmtId="0" fontId="55" fillId="0" borderId="12" xfId="0" applyFont="1" applyBorder="1" applyAlignment="1">
      <alignment vertical="center"/>
    </xf>
    <xf numFmtId="0" fontId="55" fillId="0" borderId="13" xfId="0" applyFont="1" applyBorder="1" applyAlignment="1">
      <alignment horizontal="center" vertical="center"/>
    </xf>
    <xf numFmtId="0" fontId="59" fillId="0" borderId="10" xfId="0" applyFont="1" applyBorder="1" applyAlignment="1">
      <alignment horizontal="center" vertical="center"/>
    </xf>
    <xf numFmtId="0" fontId="59" fillId="0" borderId="10" xfId="0" applyFont="1" applyFill="1" applyBorder="1" applyAlignment="1">
      <alignment vertical="center"/>
    </xf>
    <xf numFmtId="0" fontId="7" fillId="36" borderId="10" xfId="0" applyFont="1" applyFill="1" applyBorder="1" applyAlignment="1">
      <alignment horizontal="right" wrapText="1"/>
    </xf>
    <xf numFmtId="4" fontId="42" fillId="0" borderId="10" xfId="0" applyNumberFormat="1" applyFont="1" applyBorder="1" applyAlignment="1">
      <alignment/>
    </xf>
    <xf numFmtId="0" fontId="55" fillId="0" borderId="10" xfId="0" applyFont="1" applyBorder="1" applyAlignment="1">
      <alignment vertical="center"/>
    </xf>
    <xf numFmtId="0" fontId="55" fillId="0" borderId="13" xfId="0" applyFont="1" applyBorder="1" applyAlignment="1">
      <alignment vertical="center"/>
    </xf>
    <xf numFmtId="0" fontId="0" fillId="6" borderId="20" xfId="0" applyFill="1" applyBorder="1" applyAlignment="1">
      <alignment/>
    </xf>
    <xf numFmtId="0" fontId="55" fillId="0" borderId="20" xfId="0" applyFont="1" applyBorder="1" applyAlignment="1">
      <alignment vertical="center"/>
    </xf>
    <xf numFmtId="0" fontId="55" fillId="0" borderId="21" xfId="0" applyFont="1" applyBorder="1" applyAlignment="1">
      <alignment vertical="center"/>
    </xf>
    <xf numFmtId="0" fontId="7" fillId="6" borderId="22" xfId="0" applyFont="1" applyFill="1" applyBorder="1" applyAlignment="1">
      <alignment vertical="center" wrapText="1"/>
    </xf>
    <xf numFmtId="0" fontId="3" fillId="6" borderId="22" xfId="0" applyFont="1" applyFill="1" applyBorder="1" applyAlignment="1">
      <alignment vertical="center" wrapText="1"/>
    </xf>
    <xf numFmtId="3" fontId="55" fillId="0" borderId="10" xfId="0" applyNumberFormat="1" applyFont="1" applyBorder="1" applyAlignment="1">
      <alignment/>
    </xf>
    <xf numFmtId="4" fontId="55" fillId="0" borderId="10" xfId="0" applyNumberFormat="1" applyFont="1" applyBorder="1" applyAlignment="1">
      <alignment/>
    </xf>
    <xf numFmtId="0" fontId="55" fillId="0" borderId="15" xfId="0" applyFont="1" applyBorder="1" applyAlignment="1">
      <alignment/>
    </xf>
    <xf numFmtId="0" fontId="55" fillId="37" borderId="10" xfId="0" applyFont="1" applyFill="1" applyBorder="1" applyAlignment="1">
      <alignment/>
    </xf>
    <xf numFmtId="3" fontId="55" fillId="37" borderId="10" xfId="0" applyNumberFormat="1" applyFont="1" applyFill="1" applyBorder="1" applyAlignment="1">
      <alignment/>
    </xf>
    <xf numFmtId="2" fontId="55" fillId="0" borderId="10" xfId="0" applyNumberFormat="1" applyFont="1" applyBorder="1" applyAlignment="1">
      <alignment/>
    </xf>
    <xf numFmtId="0" fontId="55" fillId="0" borderId="10" xfId="0" applyFont="1" applyBorder="1" applyAlignment="1">
      <alignment horizontal="right"/>
    </xf>
    <xf numFmtId="3" fontId="56" fillId="0" borderId="10" xfId="0" applyNumberFormat="1" applyFont="1" applyBorder="1" applyAlignment="1">
      <alignment/>
    </xf>
    <xf numFmtId="4" fontId="56" fillId="0" borderId="10" xfId="0" applyNumberFormat="1" applyFont="1" applyBorder="1" applyAlignment="1">
      <alignment/>
    </xf>
    <xf numFmtId="0" fontId="55" fillId="37" borderId="10" xfId="0" applyFont="1" applyFill="1" applyBorder="1" applyAlignment="1">
      <alignment horizontal="center"/>
    </xf>
    <xf numFmtId="0" fontId="59" fillId="0" borderId="10" xfId="0" applyFont="1" applyBorder="1" applyAlignment="1">
      <alignment/>
    </xf>
    <xf numFmtId="3" fontId="59" fillId="0" borderId="10" xfId="0" applyNumberFormat="1" applyFont="1" applyBorder="1" applyAlignment="1">
      <alignment/>
    </xf>
    <xf numFmtId="4" fontId="55" fillId="0" borderId="0" xfId="0" applyNumberFormat="1" applyFont="1" applyAlignment="1">
      <alignment/>
    </xf>
    <xf numFmtId="183" fontId="0" fillId="0" borderId="0" xfId="0" applyNumberFormat="1" applyAlignment="1">
      <alignment/>
    </xf>
    <xf numFmtId="0" fontId="55" fillId="34" borderId="13" xfId="0" applyFont="1" applyFill="1" applyBorder="1" applyAlignment="1">
      <alignment horizontal="center" vertical="center" wrapText="1"/>
    </xf>
    <xf numFmtId="0" fontId="60" fillId="35" borderId="10" xfId="0" applyFont="1" applyFill="1" applyBorder="1" applyAlignment="1">
      <alignment horizontal="center" vertical="center"/>
    </xf>
    <xf numFmtId="0" fontId="61" fillId="35" borderId="10"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1" fillId="0" borderId="10" xfId="0" applyFont="1" applyFill="1" applyBorder="1" applyAlignment="1">
      <alignment horizontal="left" wrapText="1"/>
    </xf>
    <xf numFmtId="193" fontId="60"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93" fontId="62" fillId="0" borderId="10" xfId="0" applyNumberFormat="1" applyFont="1" applyFill="1" applyBorder="1" applyAlignment="1">
      <alignment horizontal="center" vertical="center"/>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193" fontId="60" fillId="0" borderId="10" xfId="0" applyNumberFormat="1" applyFont="1" applyFill="1" applyBorder="1" applyAlignment="1">
      <alignment horizontal="center" vertical="center"/>
    </xf>
    <xf numFmtId="0" fontId="56" fillId="11" borderId="10" xfId="0" applyFont="1" applyFill="1" applyBorder="1" applyAlignment="1">
      <alignment/>
    </xf>
    <xf numFmtId="4" fontId="56" fillId="11" borderId="10" xfId="0" applyNumberFormat="1" applyFont="1" applyFill="1" applyBorder="1" applyAlignment="1">
      <alignment horizontal="center"/>
    </xf>
    <xf numFmtId="0" fontId="56" fillId="11" borderId="10" xfId="0" applyFont="1" applyFill="1" applyBorder="1" applyAlignment="1">
      <alignment wrapText="1"/>
    </xf>
    <xf numFmtId="0" fontId="56" fillId="17" borderId="10" xfId="0" applyFont="1" applyFill="1" applyBorder="1" applyAlignment="1">
      <alignment horizontal="right" wrapText="1"/>
    </xf>
    <xf numFmtId="4" fontId="56" fillId="17" borderId="10" xfId="0" applyNumberFormat="1" applyFont="1" applyFill="1" applyBorder="1" applyAlignment="1">
      <alignment horizontal="center"/>
    </xf>
    <xf numFmtId="0" fontId="56" fillId="17" borderId="10" xfId="0" applyFont="1" applyFill="1" applyBorder="1" applyAlignment="1">
      <alignment horizontal="center"/>
    </xf>
    <xf numFmtId="0" fontId="59" fillId="0" borderId="23" xfId="0" applyFont="1" applyBorder="1" applyAlignment="1">
      <alignment wrapText="1"/>
    </xf>
    <xf numFmtId="0" fontId="59" fillId="0" borderId="15" xfId="0" applyFont="1" applyBorder="1" applyAlignment="1">
      <alignment vertical="top" wrapText="1"/>
    </xf>
    <xf numFmtId="0" fontId="59" fillId="0" borderId="15" xfId="0" applyFont="1" applyBorder="1" applyAlignment="1">
      <alignment wrapText="1"/>
    </xf>
    <xf numFmtId="0" fontId="59" fillId="0" borderId="13" xfId="0" applyFont="1" applyFill="1" applyBorder="1" applyAlignment="1">
      <alignment vertical="center" wrapText="1"/>
    </xf>
    <xf numFmtId="0" fontId="59" fillId="0" borderId="10" xfId="0" applyFont="1" applyFill="1" applyBorder="1" applyAlignment="1">
      <alignment vertical="center" wrapText="1"/>
    </xf>
    <xf numFmtId="0" fontId="59" fillId="0" borderId="23" xfId="0" applyFont="1" applyFill="1" applyBorder="1" applyAlignment="1">
      <alignment vertical="center" wrapText="1"/>
    </xf>
    <xf numFmtId="0" fontId="59" fillId="0" borderId="15" xfId="0" applyFont="1" applyFill="1" applyBorder="1" applyAlignment="1">
      <alignment vertical="center" wrapText="1"/>
    </xf>
    <xf numFmtId="0" fontId="59" fillId="0" borderId="18" xfId="0" applyFont="1" applyFill="1" applyBorder="1" applyAlignment="1">
      <alignment vertical="center" wrapText="1"/>
    </xf>
    <xf numFmtId="0" fontId="59" fillId="0" borderId="13" xfId="0" applyFont="1" applyBorder="1" applyAlignment="1">
      <alignment wrapText="1"/>
    </xf>
    <xf numFmtId="0" fontId="59" fillId="0" borderId="12" xfId="0" applyFont="1" applyBorder="1" applyAlignment="1">
      <alignment wrapText="1"/>
    </xf>
    <xf numFmtId="0" fontId="59" fillId="0" borderId="18" xfId="0" applyFont="1" applyBorder="1" applyAlignment="1">
      <alignment wrapText="1"/>
    </xf>
    <xf numFmtId="0" fontId="59" fillId="0" borderId="12" xfId="0" applyFont="1" applyFill="1" applyBorder="1" applyAlignment="1">
      <alignment vertical="center"/>
    </xf>
    <xf numFmtId="0" fontId="59" fillId="0" borderId="12" xfId="0" applyFont="1" applyFill="1" applyBorder="1" applyAlignment="1">
      <alignment vertical="center" wrapText="1"/>
    </xf>
    <xf numFmtId="0" fontId="56" fillId="0"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56" fillId="35" borderId="1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61" fillId="0" borderId="0" xfId="0" applyFont="1" applyAlignment="1">
      <alignment/>
    </xf>
    <xf numFmtId="0" fontId="3" fillId="0" borderId="16" xfId="35" applyFont="1" applyBorder="1" applyAlignment="1">
      <alignment horizontal="left" wrapText="1"/>
    </xf>
    <xf numFmtId="0" fontId="3" fillId="0" borderId="14" xfId="35" applyFont="1" applyBorder="1" applyAlignment="1">
      <alignment horizontal="left" wrapText="1"/>
    </xf>
    <xf numFmtId="0" fontId="3" fillId="0" borderId="15" xfId="35" applyFont="1" applyBorder="1" applyAlignment="1">
      <alignment horizontal="left" wrapText="1"/>
    </xf>
    <xf numFmtId="0" fontId="3" fillId="35" borderId="16" xfId="35" applyFont="1" applyFill="1" applyBorder="1" applyAlignment="1">
      <alignment horizontal="left"/>
    </xf>
    <xf numFmtId="0" fontId="3" fillId="35" borderId="14" xfId="35" applyFont="1" applyFill="1" applyBorder="1" applyAlignment="1">
      <alignment horizontal="left"/>
    </xf>
    <xf numFmtId="0" fontId="3" fillId="35" borderId="15" xfId="35" applyFont="1" applyFill="1" applyBorder="1" applyAlignment="1">
      <alignment horizontal="left"/>
    </xf>
    <xf numFmtId="0" fontId="3" fillId="35" borderId="10" xfId="35" applyFont="1" applyFill="1" applyBorder="1" applyAlignment="1">
      <alignment horizontal="left"/>
    </xf>
    <xf numFmtId="0" fontId="3" fillId="0" borderId="0" xfId="0" applyFont="1" applyAlignment="1">
      <alignment horizontal="left" wrapText="1"/>
    </xf>
    <xf numFmtId="0" fontId="4" fillId="0" borderId="24" xfId="0" applyFont="1" applyBorder="1" applyAlignment="1">
      <alignment horizontal="center"/>
    </xf>
    <xf numFmtId="0" fontId="2" fillId="0" borderId="0" xfId="0" applyFont="1" applyAlignment="1">
      <alignment horizontal="right" wrapText="1"/>
    </xf>
    <xf numFmtId="0" fontId="4" fillId="0" borderId="0" xfId="0" applyFont="1" applyAlignment="1">
      <alignment horizontal="center" wrapText="1"/>
    </xf>
    <xf numFmtId="0" fontId="63" fillId="17" borderId="10" xfId="0" applyFont="1" applyFill="1" applyBorder="1" applyAlignment="1">
      <alignment horizontal="center"/>
    </xf>
    <xf numFmtId="0" fontId="55" fillId="0" borderId="0" xfId="0" applyFont="1" applyAlignment="1">
      <alignment horizontal="left" wrapText="1"/>
    </xf>
    <xf numFmtId="0" fontId="55" fillId="0" borderId="0" xfId="0" applyFont="1" applyAlignment="1">
      <alignment horizontal="right"/>
    </xf>
    <xf numFmtId="0" fontId="63" fillId="0" borderId="0" xfId="0" applyFont="1" applyAlignment="1">
      <alignment horizontal="center" wrapText="1"/>
    </xf>
    <xf numFmtId="0" fontId="55" fillId="34" borderId="16"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9" fillId="34" borderId="16" xfId="0" applyFont="1" applyFill="1" applyBorder="1" applyAlignment="1">
      <alignment horizontal="left" wrapText="1"/>
    </xf>
    <xf numFmtId="0" fontId="59" fillId="34" borderId="14" xfId="0" applyFont="1" applyFill="1" applyBorder="1" applyAlignment="1">
      <alignment horizontal="left" wrapText="1"/>
    </xf>
    <xf numFmtId="0" fontId="59" fillId="34" borderId="15" xfId="0" applyFont="1" applyFill="1" applyBorder="1" applyAlignment="1">
      <alignment horizontal="left" wrapText="1"/>
    </xf>
    <xf numFmtId="4" fontId="55" fillId="0" borderId="10" xfId="0" applyNumberFormat="1" applyFont="1" applyBorder="1" applyAlignment="1">
      <alignment horizontal="center" wrapText="1"/>
    </xf>
    <xf numFmtId="4" fontId="0" fillId="0" borderId="10" xfId="0" applyNumberFormat="1" applyBorder="1" applyAlignment="1">
      <alignment horizontal="center" wrapText="1"/>
    </xf>
    <xf numFmtId="0" fontId="7" fillId="34" borderId="13" xfId="0" applyFont="1" applyFill="1" applyBorder="1" applyAlignment="1">
      <alignment horizontal="center" wrapText="1"/>
    </xf>
    <xf numFmtId="0" fontId="7" fillId="34" borderId="19" xfId="0" applyFont="1" applyFill="1" applyBorder="1" applyAlignment="1">
      <alignment horizontal="center" wrapText="1"/>
    </xf>
    <xf numFmtId="0" fontId="55" fillId="34" borderId="10"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xf numFmtId="0" fontId="7" fillId="34" borderId="13" xfId="0" applyFont="1" applyFill="1" applyBorder="1" applyAlignment="1">
      <alignment horizontal="center" vertical="center"/>
    </xf>
    <xf numFmtId="0" fontId="63" fillId="0" borderId="0" xfId="0" applyFont="1" applyAlignment="1">
      <alignment horizontal="center" vertical="center" wrapText="1"/>
    </xf>
    <xf numFmtId="0" fontId="7" fillId="34" borderId="16" xfId="0" applyFont="1" applyFill="1" applyBorder="1" applyAlignment="1">
      <alignment horizontal="center" wrapText="1"/>
    </xf>
    <xf numFmtId="0" fontId="7" fillId="34" borderId="15" xfId="0" applyFont="1" applyFill="1" applyBorder="1" applyAlignment="1">
      <alignment horizontal="center" wrapText="1"/>
    </xf>
    <xf numFmtId="0" fontId="56" fillId="0" borderId="21" xfId="0" applyFont="1" applyBorder="1" applyAlignment="1">
      <alignment horizontal="left" wrapText="1"/>
    </xf>
    <xf numFmtId="0" fontId="56" fillId="0" borderId="24" xfId="0" applyFont="1" applyBorder="1" applyAlignment="1">
      <alignment horizontal="left" wrapText="1"/>
    </xf>
    <xf numFmtId="0" fontId="56" fillId="0" borderId="18" xfId="0" applyFont="1" applyBorder="1" applyAlignment="1">
      <alignment horizontal="left" wrapText="1"/>
    </xf>
    <xf numFmtId="0" fontId="55" fillId="34" borderId="13" xfId="0" applyFont="1" applyFill="1" applyBorder="1" applyAlignment="1">
      <alignment horizontal="center" wrapText="1"/>
    </xf>
    <xf numFmtId="0" fontId="55" fillId="34" borderId="12" xfId="0" applyFont="1" applyFill="1" applyBorder="1" applyAlignment="1">
      <alignment horizontal="center" wrapText="1"/>
    </xf>
    <xf numFmtId="0" fontId="59" fillId="0" borderId="13" xfId="0" applyFont="1" applyBorder="1" applyAlignment="1">
      <alignment horizontal="left" vertical="top" wrapText="1"/>
    </xf>
    <xf numFmtId="0" fontId="59" fillId="0" borderId="12" xfId="0" applyFont="1" applyBorder="1" applyAlignment="1">
      <alignment horizontal="left" vertical="top" wrapText="1"/>
    </xf>
    <xf numFmtId="0" fontId="59" fillId="0" borderId="13" xfId="0" applyFont="1" applyBorder="1" applyAlignment="1">
      <alignment horizontal="left" wrapText="1"/>
    </xf>
    <xf numFmtId="0" fontId="59" fillId="0" borderId="12" xfId="0" applyFont="1" applyBorder="1" applyAlignment="1">
      <alignment horizontal="left" wrapText="1"/>
    </xf>
    <xf numFmtId="3" fontId="56" fillId="0" borderId="16" xfId="0" applyNumberFormat="1" applyFont="1" applyBorder="1" applyAlignment="1">
      <alignment horizontal="center"/>
    </xf>
    <xf numFmtId="3" fontId="56" fillId="0" borderId="15" xfId="0" applyNumberFormat="1" applyFont="1" applyBorder="1" applyAlignment="1">
      <alignment horizontal="center"/>
    </xf>
    <xf numFmtId="0" fontId="55" fillId="0" borderId="10" xfId="0" applyFont="1" applyBorder="1" applyAlignment="1">
      <alignment horizontal="center" vertical="center"/>
    </xf>
    <xf numFmtId="0" fontId="56" fillId="0" borderId="10" xfId="0" applyFont="1" applyFill="1" applyBorder="1" applyAlignment="1">
      <alignment horizontal="center" vertical="center" wrapText="1"/>
    </xf>
    <xf numFmtId="0" fontId="56" fillId="34" borderId="10" xfId="0" applyFont="1" applyFill="1" applyBorder="1" applyAlignment="1">
      <alignment horizontal="center" wrapText="1"/>
    </xf>
    <xf numFmtId="0" fontId="56" fillId="34" borderId="13" xfId="0" applyFont="1" applyFill="1" applyBorder="1" applyAlignment="1">
      <alignment horizontal="center" wrapText="1"/>
    </xf>
    <xf numFmtId="0" fontId="56" fillId="34" borderId="19" xfId="0" applyFont="1" applyFill="1" applyBorder="1" applyAlignment="1">
      <alignment horizontal="center" wrapText="1"/>
    </xf>
    <xf numFmtId="0" fontId="56" fillId="34" borderId="12" xfId="0" applyFont="1" applyFill="1" applyBorder="1" applyAlignment="1">
      <alignment horizontal="center" wrapText="1"/>
    </xf>
    <xf numFmtId="0" fontId="60" fillId="0" borderId="13"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0" fillId="0" borderId="0" xfId="0" applyAlignment="1">
      <alignment horizontal="center"/>
    </xf>
    <xf numFmtId="0" fontId="60" fillId="0" borderId="10" xfId="0" applyFont="1" applyFill="1" applyBorder="1" applyAlignment="1">
      <alignment horizontal="right" vertical="center" wrapText="1"/>
    </xf>
    <xf numFmtId="0" fontId="57" fillId="0" borderId="0" xfId="0" applyFont="1" applyAlignment="1">
      <alignment horizontal="left" wrapText="1"/>
    </xf>
    <xf numFmtId="0" fontId="61" fillId="0" borderId="0" xfId="0" applyFont="1" applyFill="1" applyBorder="1" applyAlignment="1">
      <alignment horizontal="center" vertical="center" wrapText="1"/>
    </xf>
    <xf numFmtId="0" fontId="62" fillId="0" borderId="16"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16" xfId="0" applyFont="1" applyFill="1" applyBorder="1" applyAlignment="1">
      <alignment horizontal="left" vertical="center"/>
    </xf>
    <xf numFmtId="0" fontId="62" fillId="0" borderId="14" xfId="0" applyFont="1" applyFill="1" applyBorder="1" applyAlignment="1">
      <alignment horizontal="left" vertical="center"/>
    </xf>
    <xf numFmtId="0" fontId="62" fillId="0" borderId="15" xfId="0" applyFont="1" applyFill="1" applyBorder="1" applyAlignment="1">
      <alignment horizontal="left" vertical="center"/>
    </xf>
    <xf numFmtId="183" fontId="57" fillId="0" borderId="0" xfId="0" applyNumberFormat="1" applyFont="1" applyAlignment="1">
      <alignment horizontal="left" wrapText="1"/>
    </xf>
  </cellXfs>
  <cellStyles count="5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 3" xfId="51"/>
    <cellStyle name="Nosaukums"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15"/>
  <sheetViews>
    <sheetView showGridLines="0" zoomScalePageLayoutView="0" workbookViewId="0" topLeftCell="A1">
      <selection activeCell="F16" sqref="F16"/>
    </sheetView>
  </sheetViews>
  <sheetFormatPr defaultColWidth="9.140625" defaultRowHeight="15"/>
  <cols>
    <col min="1" max="1" width="16.421875" style="0" customWidth="1"/>
    <col min="13" max="13" width="14.00390625" style="0" customWidth="1"/>
  </cols>
  <sheetData>
    <row r="1" spans="6:13" ht="69" customHeight="1">
      <c r="F1" s="172" t="s">
        <v>199</v>
      </c>
      <c r="G1" s="172"/>
      <c r="H1" s="172"/>
      <c r="I1" s="172"/>
      <c r="J1" s="172"/>
      <c r="K1" s="172"/>
      <c r="L1" s="172"/>
      <c r="M1" s="172"/>
    </row>
    <row r="2" spans="6:13" ht="14.25">
      <c r="F2" s="5"/>
      <c r="G2" s="5"/>
      <c r="H2" s="5"/>
      <c r="I2" s="5"/>
      <c r="J2" s="5"/>
      <c r="K2" s="5"/>
      <c r="L2" s="5"/>
      <c r="M2" s="5"/>
    </row>
    <row r="3" spans="4:13" ht="15" customHeight="1">
      <c r="D3" s="170" t="s">
        <v>198</v>
      </c>
      <c r="E3" s="170"/>
      <c r="F3" s="170"/>
      <c r="G3" s="170"/>
      <c r="H3" s="170"/>
      <c r="I3" s="170"/>
      <c r="J3" s="170"/>
      <c r="K3" s="170"/>
      <c r="L3" s="170"/>
      <c r="M3" s="170"/>
    </row>
    <row r="4" spans="1:13" ht="35.25" customHeight="1">
      <c r="A4" s="173" t="s">
        <v>20</v>
      </c>
      <c r="B4" s="173"/>
      <c r="C4" s="173"/>
      <c r="D4" s="173"/>
      <c r="E4" s="173"/>
      <c r="F4" s="173"/>
      <c r="G4" s="173"/>
      <c r="H4" s="173"/>
      <c r="I4" s="173"/>
      <c r="J4" s="173"/>
      <c r="K4" s="173"/>
      <c r="L4" s="173"/>
      <c r="M4" s="173"/>
    </row>
    <row r="6" spans="1:13" ht="17.25">
      <c r="A6" s="171" t="s">
        <v>0</v>
      </c>
      <c r="B6" s="171"/>
      <c r="C6" s="171"/>
      <c r="D6" s="171"/>
      <c r="E6" s="171"/>
      <c r="F6" s="171"/>
      <c r="G6" s="171"/>
      <c r="H6" s="171"/>
      <c r="I6" s="171"/>
      <c r="J6" s="171"/>
      <c r="K6" s="171"/>
      <c r="L6" s="171"/>
      <c r="M6" s="171"/>
    </row>
    <row r="7" spans="1:13" ht="18.75" customHeight="1">
      <c r="A7" s="135" t="s">
        <v>2</v>
      </c>
      <c r="B7" s="174" t="s">
        <v>1</v>
      </c>
      <c r="C7" s="174"/>
      <c r="D7" s="174"/>
      <c r="E7" s="174"/>
      <c r="F7" s="174"/>
      <c r="G7" s="174"/>
      <c r="H7" s="174"/>
      <c r="I7" s="174"/>
      <c r="J7" s="174"/>
      <c r="K7" s="174"/>
      <c r="L7" s="174"/>
      <c r="M7" s="174"/>
    </row>
    <row r="8" spans="1:13" s="4" customFormat="1" ht="18.75" customHeight="1">
      <c r="A8" s="34" t="s">
        <v>189</v>
      </c>
      <c r="B8" s="163" t="s">
        <v>141</v>
      </c>
      <c r="C8" s="164"/>
      <c r="D8" s="164"/>
      <c r="E8" s="164"/>
      <c r="F8" s="164"/>
      <c r="G8" s="164"/>
      <c r="H8" s="164"/>
      <c r="I8" s="164"/>
      <c r="J8" s="164"/>
      <c r="K8" s="164"/>
      <c r="L8" s="164"/>
      <c r="M8" s="165"/>
    </row>
    <row r="9" spans="1:13" s="4" customFormat="1" ht="24" customHeight="1">
      <c r="A9" s="34" t="s">
        <v>190</v>
      </c>
      <c r="B9" s="169" t="s">
        <v>57</v>
      </c>
      <c r="C9" s="169"/>
      <c r="D9" s="169"/>
      <c r="E9" s="169"/>
      <c r="F9" s="169"/>
      <c r="G9" s="169"/>
      <c r="H9" s="169"/>
      <c r="I9" s="169"/>
      <c r="J9" s="169"/>
      <c r="K9" s="169"/>
      <c r="L9" s="169"/>
      <c r="M9" s="169"/>
    </row>
    <row r="10" spans="1:24" ht="22.5" customHeight="1">
      <c r="A10" s="34" t="s">
        <v>191</v>
      </c>
      <c r="B10" s="169" t="s">
        <v>41</v>
      </c>
      <c r="C10" s="169"/>
      <c r="D10" s="169"/>
      <c r="E10" s="169"/>
      <c r="F10" s="169"/>
      <c r="G10" s="169"/>
      <c r="H10" s="169"/>
      <c r="I10" s="169"/>
      <c r="J10" s="169"/>
      <c r="K10" s="169"/>
      <c r="L10" s="169"/>
      <c r="M10" s="169"/>
      <c r="N10" s="6"/>
      <c r="O10" s="7"/>
      <c r="P10" s="7"/>
      <c r="Q10" s="7"/>
      <c r="R10" s="7"/>
      <c r="S10" s="7"/>
      <c r="T10" s="7"/>
      <c r="U10" s="7"/>
      <c r="V10" s="7"/>
      <c r="W10" s="7"/>
      <c r="X10" s="7"/>
    </row>
    <row r="11" spans="1:22" s="4" customFormat="1" ht="18.75" customHeight="1">
      <c r="A11" s="34" t="s">
        <v>192</v>
      </c>
      <c r="B11" s="166" t="s">
        <v>202</v>
      </c>
      <c r="C11" s="167"/>
      <c r="D11" s="167"/>
      <c r="E11" s="167"/>
      <c r="F11" s="167"/>
      <c r="G11" s="167"/>
      <c r="H11" s="167"/>
      <c r="I11" s="167"/>
      <c r="J11" s="167"/>
      <c r="K11" s="167"/>
      <c r="L11" s="167"/>
      <c r="M11" s="168"/>
      <c r="N11" s="6"/>
      <c r="O11" s="7"/>
      <c r="P11" s="7"/>
      <c r="Q11" s="7"/>
      <c r="R11" s="7"/>
      <c r="S11" s="7"/>
      <c r="T11" s="7"/>
      <c r="U11" s="7"/>
      <c r="V11" s="7"/>
    </row>
    <row r="12" spans="1:22" ht="18.75" customHeight="1">
      <c r="A12" s="34" t="s">
        <v>193</v>
      </c>
      <c r="B12" s="169" t="s">
        <v>203</v>
      </c>
      <c r="C12" s="169"/>
      <c r="D12" s="169"/>
      <c r="E12" s="169"/>
      <c r="F12" s="169"/>
      <c r="G12" s="169"/>
      <c r="H12" s="169"/>
      <c r="I12" s="169"/>
      <c r="J12" s="169"/>
      <c r="K12" s="169"/>
      <c r="L12" s="169"/>
      <c r="M12" s="169"/>
      <c r="N12" s="6"/>
      <c r="O12" s="7"/>
      <c r="P12" s="7"/>
      <c r="Q12" s="7"/>
      <c r="R12" s="7"/>
      <c r="S12" s="7"/>
      <c r="T12" s="7"/>
      <c r="U12" s="7"/>
      <c r="V12" s="7"/>
    </row>
    <row r="13" spans="1:13" ht="15">
      <c r="A13" s="34" t="s">
        <v>194</v>
      </c>
      <c r="B13" s="163" t="s">
        <v>143</v>
      </c>
      <c r="C13" s="164"/>
      <c r="D13" s="164"/>
      <c r="E13" s="164"/>
      <c r="F13" s="164"/>
      <c r="G13" s="164"/>
      <c r="H13" s="164"/>
      <c r="I13" s="164"/>
      <c r="J13" s="164"/>
      <c r="K13" s="164"/>
      <c r="L13" s="164"/>
      <c r="M13" s="165"/>
    </row>
    <row r="14" ht="15">
      <c r="B14" s="1"/>
    </row>
    <row r="15" ht="15">
      <c r="B15" s="1"/>
    </row>
  </sheetData>
  <sheetProtection/>
  <mergeCells count="11">
    <mergeCell ref="F1:M1"/>
    <mergeCell ref="A4:M4"/>
    <mergeCell ref="B7:M7"/>
    <mergeCell ref="B8:M8"/>
    <mergeCell ref="B13:M13"/>
    <mergeCell ref="B11:M11"/>
    <mergeCell ref="B9:M9"/>
    <mergeCell ref="B10:M10"/>
    <mergeCell ref="B12:M12"/>
    <mergeCell ref="D3:M3"/>
    <mergeCell ref="A6:M6"/>
  </mergeCells>
  <printOptions/>
  <pageMargins left="0.25" right="0.25"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K36"/>
  <sheetViews>
    <sheetView showGridLines="0" zoomScalePageLayoutView="0" workbookViewId="0" topLeftCell="A1">
      <selection activeCell="K10" sqref="K10"/>
    </sheetView>
  </sheetViews>
  <sheetFormatPr defaultColWidth="9.140625" defaultRowHeight="15"/>
  <cols>
    <col min="1" max="1" width="2.8515625" style="0" customWidth="1"/>
    <col min="2" max="2" width="58.28125" style="4" customWidth="1"/>
    <col min="3" max="4" width="17.28125" style="4" customWidth="1"/>
    <col min="5" max="6" width="12.7109375" style="4" customWidth="1"/>
    <col min="7" max="7" width="14.28125" style="4" customWidth="1"/>
    <col min="8" max="8" width="21.421875" style="4" customWidth="1"/>
  </cols>
  <sheetData>
    <row r="1" spans="2:8" s="4" customFormat="1" ht="15">
      <c r="B1" s="9"/>
      <c r="C1" s="9"/>
      <c r="D1" s="46"/>
      <c r="E1" s="9"/>
      <c r="F1" s="9"/>
      <c r="G1" s="176" t="s">
        <v>197</v>
      </c>
      <c r="H1" s="176"/>
    </row>
    <row r="2" spans="2:8" s="4" customFormat="1" ht="15">
      <c r="B2" s="9"/>
      <c r="C2" s="9"/>
      <c r="D2" s="9"/>
      <c r="E2" s="9"/>
      <c r="F2" s="9"/>
      <c r="G2" s="9"/>
      <c r="H2" s="9"/>
    </row>
    <row r="3" spans="2:8" s="4" customFormat="1" ht="21.75" customHeight="1">
      <c r="B3" s="177" t="s">
        <v>181</v>
      </c>
      <c r="C3" s="177"/>
      <c r="D3" s="177"/>
      <c r="E3" s="177"/>
      <c r="F3" s="177"/>
      <c r="G3" s="177"/>
      <c r="H3" s="177"/>
    </row>
    <row r="6" spans="2:8" s="4" customFormat="1" ht="60" customHeight="1">
      <c r="B6" s="119" t="s">
        <v>18</v>
      </c>
      <c r="C6" s="178" t="s">
        <v>182</v>
      </c>
      <c r="D6" s="179"/>
      <c r="E6" s="178" t="s">
        <v>183</v>
      </c>
      <c r="F6" s="180"/>
      <c r="G6" s="179"/>
      <c r="H6" s="47" t="s">
        <v>51</v>
      </c>
    </row>
    <row r="7" spans="2:8" ht="29.25" customHeight="1">
      <c r="B7" s="32"/>
      <c r="C7" s="47" t="s">
        <v>39</v>
      </c>
      <c r="D7" s="47" t="s">
        <v>37</v>
      </c>
      <c r="E7" s="47" t="s">
        <v>39</v>
      </c>
      <c r="F7" s="68" t="s">
        <v>113</v>
      </c>
      <c r="G7" s="47" t="s">
        <v>112</v>
      </c>
      <c r="H7" s="47" t="s">
        <v>37</v>
      </c>
    </row>
    <row r="8" spans="2:8" s="4" customFormat="1" ht="14.25" customHeight="1" hidden="1">
      <c r="B8" s="71"/>
      <c r="C8" s="63"/>
      <c r="D8" s="63"/>
      <c r="E8" s="63"/>
      <c r="F8" s="63"/>
      <c r="G8" s="63"/>
      <c r="H8" s="63"/>
    </row>
    <row r="9" spans="2:11" ht="24" customHeight="1">
      <c r="B9" s="130" t="s">
        <v>19</v>
      </c>
      <c r="C9" s="131">
        <f aca="true" t="shared" si="0" ref="C9:H9">SUM(C10:C12)</f>
        <v>566.8000000000001</v>
      </c>
      <c r="D9" s="131">
        <f t="shared" si="0"/>
        <v>583.23</v>
      </c>
      <c r="E9" s="131">
        <f t="shared" si="0"/>
        <v>840.2800000000001</v>
      </c>
      <c r="F9" s="131">
        <f t="shared" si="0"/>
        <v>1328.1000000000001</v>
      </c>
      <c r="G9" s="131">
        <f t="shared" si="0"/>
        <v>840.2800000000001</v>
      </c>
      <c r="H9" s="131">
        <f t="shared" si="0"/>
        <v>1328.1</v>
      </c>
      <c r="K9" s="20"/>
    </row>
    <row r="10" spans="2:11" s="4" customFormat="1" ht="36.75" customHeight="1">
      <c r="B10" s="8" t="s">
        <v>184</v>
      </c>
      <c r="C10" s="22">
        <f>'8.2.pielikums'!$G$10</f>
        <v>512.4000000000001</v>
      </c>
      <c r="D10" s="22">
        <f>'8.2.pielikums'!$G$10</f>
        <v>512.4000000000001</v>
      </c>
      <c r="E10" s="22">
        <f>'8.2.pielikums'!$G$10</f>
        <v>512.4000000000001</v>
      </c>
      <c r="F10" s="22">
        <f>'8.2.pielikums'!$G$10</f>
        <v>512.4000000000001</v>
      </c>
      <c r="G10" s="22">
        <f>'8.2.pielikums'!$G$10</f>
        <v>512.4000000000001</v>
      </c>
      <c r="H10" s="22">
        <f>'8.2.pielikums'!$G$10</f>
        <v>512.4000000000001</v>
      </c>
      <c r="K10" s="20"/>
    </row>
    <row r="11" spans="2:11" s="4" customFormat="1" ht="18.75" customHeight="1">
      <c r="B11" s="8" t="s">
        <v>67</v>
      </c>
      <c r="C11" s="22">
        <f>'8.2.pielikums'!G14</f>
        <v>54.4</v>
      </c>
      <c r="D11" s="22">
        <f>'8.2.pielikums'!G14</f>
        <v>54.4</v>
      </c>
      <c r="E11" s="22">
        <f>'8.2.pielikums'!G15</f>
        <v>327.88</v>
      </c>
      <c r="F11" s="22">
        <f>'8.2.pielikums'!G16</f>
        <v>815.7</v>
      </c>
      <c r="G11" s="22">
        <f>'8.2.pielikums'!G15</f>
        <v>327.88</v>
      </c>
      <c r="H11" s="22">
        <f>'8.2.pielikums'!G17</f>
        <v>815.6999999999999</v>
      </c>
      <c r="K11" s="20"/>
    </row>
    <row r="12" spans="2:11" s="4" customFormat="1" ht="20.25" customHeight="1">
      <c r="B12" s="8" t="s">
        <v>61</v>
      </c>
      <c r="C12" s="22">
        <v>0</v>
      </c>
      <c r="D12" s="22">
        <f>'8.2.pielikums'!G18</f>
        <v>16.43</v>
      </c>
      <c r="E12" s="22">
        <v>0</v>
      </c>
      <c r="F12" s="22">
        <v>0</v>
      </c>
      <c r="G12" s="22">
        <v>0</v>
      </c>
      <c r="H12" s="22">
        <v>0</v>
      </c>
      <c r="K12" s="20"/>
    </row>
    <row r="13" spans="2:8" ht="22.5" customHeight="1">
      <c r="B13" s="132" t="s">
        <v>41</v>
      </c>
      <c r="C13" s="131">
        <f aca="true" t="shared" si="1" ref="C13:H13">SUM(C15:C28)</f>
        <v>241.79000000000002</v>
      </c>
      <c r="D13" s="131">
        <f t="shared" si="1"/>
        <v>379.32000000000005</v>
      </c>
      <c r="E13" s="131">
        <f t="shared" si="1"/>
        <v>122.61999999999999</v>
      </c>
      <c r="F13" s="131">
        <f t="shared" si="1"/>
        <v>265.36</v>
      </c>
      <c r="G13" s="131">
        <f t="shared" si="1"/>
        <v>211.12</v>
      </c>
      <c r="H13" s="131">
        <f t="shared" si="1"/>
        <v>434.25999999999993</v>
      </c>
    </row>
    <row r="14" spans="2:8" s="4" customFormat="1" ht="17.25" customHeight="1">
      <c r="B14" s="181" t="s">
        <v>38</v>
      </c>
      <c r="C14" s="182"/>
      <c r="D14" s="182"/>
      <c r="E14" s="182"/>
      <c r="F14" s="182"/>
      <c r="G14" s="182"/>
      <c r="H14" s="183"/>
    </row>
    <row r="15" spans="2:8" s="4" customFormat="1" ht="17.25" customHeight="1">
      <c r="B15" s="8" t="s">
        <v>85</v>
      </c>
      <c r="C15" s="22">
        <f>'8.3.pielikums'!$G$10</f>
        <v>56.87</v>
      </c>
      <c r="D15" s="22">
        <f>'8.3.pielikums'!$G$10</f>
        <v>56.87</v>
      </c>
      <c r="E15" s="22">
        <f>'8.3.pielikums'!$G$10</f>
        <v>56.87</v>
      </c>
      <c r="F15" s="22">
        <f>'8.3.pielikums'!$G$10</f>
        <v>56.87</v>
      </c>
      <c r="G15" s="22">
        <f>'8.3.pielikums'!$G$10</f>
        <v>56.87</v>
      </c>
      <c r="H15" s="22">
        <f>'8.3.pielikums'!$G$10</f>
        <v>56.87</v>
      </c>
    </row>
    <row r="16" spans="2:8" s="4" customFormat="1" ht="12.75" customHeight="1">
      <c r="B16" s="8" t="s">
        <v>87</v>
      </c>
      <c r="C16" s="22">
        <f>'8.3.pielikums'!$G$11</f>
        <v>15.59</v>
      </c>
      <c r="D16" s="22">
        <f>'8.3.pielikums'!$G$11</f>
        <v>15.59</v>
      </c>
      <c r="E16" s="22">
        <f>'8.3.pielikums'!$G$11</f>
        <v>15.59</v>
      </c>
      <c r="F16" s="22">
        <f>'8.3.pielikums'!$G$11</f>
        <v>15.59</v>
      </c>
      <c r="G16" s="22">
        <f>'8.3.pielikums'!$G$11</f>
        <v>15.59</v>
      </c>
      <c r="H16" s="22">
        <f>'8.3.pielikums'!$G$11</f>
        <v>15.59</v>
      </c>
    </row>
    <row r="17" spans="2:8" ht="15">
      <c r="B17" s="30" t="s">
        <v>14</v>
      </c>
      <c r="C17" s="22">
        <f>'8.3.pielikums'!G14+'8.3.pielikums'!G15</f>
        <v>93.21000000000001</v>
      </c>
      <c r="D17" s="22">
        <f>'8.3.pielikums'!G14+'8.3.pielikums'!G15</f>
        <v>93.21000000000001</v>
      </c>
      <c r="E17" s="22">
        <f>'8.3.pielikums'!G14</f>
        <v>11.21</v>
      </c>
      <c r="F17" s="22">
        <f>'8.3.pielikums'!G14</f>
        <v>11.21</v>
      </c>
      <c r="G17" s="22">
        <f>'8.3.pielikums'!G14</f>
        <v>11.21</v>
      </c>
      <c r="H17" s="22">
        <f>'8.3.pielikums'!G14</f>
        <v>11.21</v>
      </c>
    </row>
    <row r="18" spans="2:8" ht="15">
      <c r="B18" s="23" t="s">
        <v>188</v>
      </c>
      <c r="C18" s="22">
        <f>'8.3.pielikums'!$G$16</f>
        <v>29.11</v>
      </c>
      <c r="D18" s="22">
        <f>'8.3.pielikums'!$G$16</f>
        <v>29.11</v>
      </c>
      <c r="E18" s="22">
        <f>'8.3.pielikums'!$G$16</f>
        <v>29.11</v>
      </c>
      <c r="F18" s="22">
        <f>'8.3.pielikums'!$G$16</f>
        <v>29.11</v>
      </c>
      <c r="G18" s="22">
        <f>'8.3.pielikums'!$G$16</f>
        <v>29.11</v>
      </c>
      <c r="H18" s="22">
        <f>'8.3.pielikums'!$G$16</f>
        <v>29.11</v>
      </c>
    </row>
    <row r="19" spans="2:10" ht="15">
      <c r="B19" s="39" t="s">
        <v>10</v>
      </c>
      <c r="C19" s="22">
        <f>'8.3.pielikums'!$G$17</f>
        <v>2.8</v>
      </c>
      <c r="D19" s="22">
        <f>'8.3.pielikums'!$G$17</f>
        <v>2.8</v>
      </c>
      <c r="E19" s="22">
        <f>'8.3.pielikums'!$G$17</f>
        <v>2.8</v>
      </c>
      <c r="F19" s="22">
        <f>'8.3.pielikums'!$G$17</f>
        <v>2.8</v>
      </c>
      <c r="G19" s="22">
        <f>'8.3.pielikums'!$G$17</f>
        <v>2.8</v>
      </c>
      <c r="H19" s="22">
        <f>'8.3.pielikums'!$G$17</f>
        <v>2.8</v>
      </c>
      <c r="J19" s="48"/>
    </row>
    <row r="20" spans="2:8" ht="30.75">
      <c r="B20" s="39" t="s">
        <v>185</v>
      </c>
      <c r="C20" s="22">
        <f>'8.3.pielikums'!$G$18</f>
        <v>7.04</v>
      </c>
      <c r="D20" s="22">
        <f>'8.3.pielikums'!$G$18</f>
        <v>7.04</v>
      </c>
      <c r="E20" s="22">
        <f>'8.3.pielikums'!$G$18</f>
        <v>7.04</v>
      </c>
      <c r="F20" s="22">
        <f>'8.3.pielikums'!$G$18</f>
        <v>7.04</v>
      </c>
      <c r="G20" s="22">
        <f>'8.3.pielikums'!$G$18</f>
        <v>7.04</v>
      </c>
      <c r="H20" s="22">
        <f>'8.3.pielikums'!$G$18</f>
        <v>7.04</v>
      </c>
    </row>
    <row r="21" spans="2:8" ht="30.75">
      <c r="B21" s="38" t="s">
        <v>123</v>
      </c>
      <c r="C21" s="22">
        <f>'8.3.pielikums'!$G$19</f>
        <v>37.17</v>
      </c>
      <c r="D21" s="22">
        <f>'8.3.pielikums'!$G$19</f>
        <v>37.17</v>
      </c>
      <c r="E21" s="37">
        <v>0</v>
      </c>
      <c r="F21" s="37">
        <v>0</v>
      </c>
      <c r="G21" s="37">
        <v>0</v>
      </c>
      <c r="H21" s="37">
        <v>0</v>
      </c>
    </row>
    <row r="22" spans="2:8" s="4" customFormat="1" ht="15" customHeight="1">
      <c r="B22" s="181" t="s">
        <v>40</v>
      </c>
      <c r="C22" s="182"/>
      <c r="D22" s="182"/>
      <c r="E22" s="182"/>
      <c r="F22" s="182"/>
      <c r="G22" s="182"/>
      <c r="H22" s="183"/>
    </row>
    <row r="23" spans="2:8" s="4" customFormat="1" ht="15" customHeight="1">
      <c r="B23" s="8" t="s">
        <v>70</v>
      </c>
      <c r="C23" s="31"/>
      <c r="D23" s="22">
        <f>'8.3.pielikums'!G12</f>
        <v>54.239999999999995</v>
      </c>
      <c r="E23" s="31"/>
      <c r="F23" s="22">
        <f>'8.3.pielikums'!G12</f>
        <v>54.239999999999995</v>
      </c>
      <c r="G23" s="22">
        <v>0</v>
      </c>
      <c r="H23" s="22">
        <f>'8.3.pielikums'!G13</f>
        <v>108.47999999999999</v>
      </c>
    </row>
    <row r="24" spans="2:8" ht="15">
      <c r="B24" s="39" t="s">
        <v>187</v>
      </c>
      <c r="C24" s="31"/>
      <c r="D24" s="37">
        <f>'8.3.pielikums'!$G$21</f>
        <v>45.05</v>
      </c>
      <c r="E24" s="31"/>
      <c r="F24" s="37">
        <v>0</v>
      </c>
      <c r="G24" s="37">
        <v>0</v>
      </c>
      <c r="H24" s="37">
        <f>'8.3.pielikums'!$G$20</f>
        <v>60.14</v>
      </c>
    </row>
    <row r="25" spans="2:8" ht="15">
      <c r="B25" s="39" t="s">
        <v>146</v>
      </c>
      <c r="C25" s="31"/>
      <c r="D25" s="37">
        <f>'8.3.pielikums'!G22</f>
        <v>25.74</v>
      </c>
      <c r="E25" s="31"/>
      <c r="F25" s="37">
        <v>0</v>
      </c>
      <c r="G25" s="37">
        <v>0</v>
      </c>
      <c r="H25" s="37">
        <v>0</v>
      </c>
    </row>
    <row r="26" spans="2:8" ht="30.75">
      <c r="B26" s="3" t="s">
        <v>130</v>
      </c>
      <c r="C26" s="31"/>
      <c r="D26" s="37">
        <v>0</v>
      </c>
      <c r="E26" s="31"/>
      <c r="F26" s="22">
        <v>0</v>
      </c>
      <c r="G26" s="22">
        <v>0</v>
      </c>
      <c r="H26" s="22">
        <f>'8.3.pielikums'!G23</f>
        <v>9.52</v>
      </c>
    </row>
    <row r="27" spans="2:8" ht="20.25" customHeight="1">
      <c r="B27" s="3" t="s">
        <v>131</v>
      </c>
      <c r="C27" s="31"/>
      <c r="D27" s="37">
        <f>'8.3.pielikums'!G24</f>
        <v>12.5</v>
      </c>
      <c r="E27" s="31"/>
      <c r="F27" s="22">
        <f>'8.3.pielikums'!G25</f>
        <v>38.5</v>
      </c>
      <c r="G27" s="22">
        <f>'8.3.pielikums'!G25</f>
        <v>38.5</v>
      </c>
      <c r="H27" s="22">
        <f>'8.3.pielikums'!G25</f>
        <v>38.5</v>
      </c>
    </row>
    <row r="28" spans="2:8" ht="30.75" customHeight="1">
      <c r="B28" s="3" t="s">
        <v>60</v>
      </c>
      <c r="C28" s="31"/>
      <c r="D28" s="37">
        <v>0</v>
      </c>
      <c r="E28" s="31"/>
      <c r="F28" s="22">
        <f>'8.3.pielikums'!G27</f>
        <v>50</v>
      </c>
      <c r="G28" s="22">
        <f>'8.3.pielikums'!G27</f>
        <v>50</v>
      </c>
      <c r="H28" s="22">
        <f>'8.3.pielikums'!G26</f>
        <v>95</v>
      </c>
    </row>
    <row r="29" spans="2:8" ht="21" customHeight="1">
      <c r="B29" s="130" t="s">
        <v>139</v>
      </c>
      <c r="C29" s="131">
        <f aca="true" t="shared" si="2" ref="C29:H29">((C9+C13)*0.1)</f>
        <v>80.85900000000002</v>
      </c>
      <c r="D29" s="131">
        <f t="shared" si="2"/>
        <v>96.25500000000001</v>
      </c>
      <c r="E29" s="131">
        <f t="shared" si="2"/>
        <v>96.29000000000002</v>
      </c>
      <c r="F29" s="131">
        <f t="shared" si="2"/>
        <v>159.346</v>
      </c>
      <c r="G29" s="131">
        <f t="shared" si="2"/>
        <v>105.14000000000001</v>
      </c>
      <c r="H29" s="131">
        <f t="shared" si="2"/>
        <v>176.236</v>
      </c>
    </row>
    <row r="30" spans="2:8" ht="15">
      <c r="B30" s="133" t="s">
        <v>58</v>
      </c>
      <c r="C30" s="134">
        <f aca="true" t="shared" si="3" ref="C30:H30">C29+C13+C9</f>
        <v>889.4490000000001</v>
      </c>
      <c r="D30" s="134">
        <f t="shared" si="3"/>
        <v>1058.805</v>
      </c>
      <c r="E30" s="134">
        <f t="shared" si="3"/>
        <v>1059.19</v>
      </c>
      <c r="F30" s="134">
        <f t="shared" si="3"/>
        <v>1752.806</v>
      </c>
      <c r="G30" s="134">
        <f t="shared" si="3"/>
        <v>1156.54</v>
      </c>
      <c r="H30" s="134">
        <f t="shared" si="3"/>
        <v>1938.5959999999998</v>
      </c>
    </row>
    <row r="32" spans="3:8" s="64" customFormat="1" ht="19.5" customHeight="1" hidden="1">
      <c r="C32" s="65"/>
      <c r="D32" s="65"/>
      <c r="E32" s="65"/>
      <c r="F32" s="65"/>
      <c r="G32" s="65"/>
      <c r="H32" s="65"/>
    </row>
    <row r="33" s="64" customFormat="1" ht="19.5" customHeight="1" hidden="1"/>
    <row r="34" spans="3:8" s="64" customFormat="1" ht="19.5" customHeight="1" hidden="1">
      <c r="C34" s="67"/>
      <c r="D34" s="66"/>
      <c r="E34" s="66"/>
      <c r="F34" s="66"/>
      <c r="G34" s="66"/>
      <c r="H34" s="66"/>
    </row>
    <row r="35" s="33" customFormat="1" ht="19.5" customHeight="1"/>
    <row r="36" spans="2:8" ht="99" customHeight="1">
      <c r="B36" s="175" t="s">
        <v>140</v>
      </c>
      <c r="C36" s="175"/>
      <c r="D36" s="175"/>
      <c r="E36" s="175"/>
      <c r="F36" s="175"/>
      <c r="G36" s="175"/>
      <c r="H36" s="175"/>
    </row>
  </sheetData>
  <sheetProtection/>
  <mergeCells count="7">
    <mergeCell ref="B36:H36"/>
    <mergeCell ref="G1:H1"/>
    <mergeCell ref="B3:H3"/>
    <mergeCell ref="C6:D6"/>
    <mergeCell ref="E6:G6"/>
    <mergeCell ref="B14:H14"/>
    <mergeCell ref="B22:H22"/>
  </mergeCells>
  <printOptions/>
  <pageMargins left="0.25" right="0.25" top="0.75" bottom="0.75" header="0.3" footer="0.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B1:W19"/>
  <sheetViews>
    <sheetView showGridLines="0" zoomScale="65" zoomScaleNormal="65" zoomScalePageLayoutView="0" workbookViewId="0" topLeftCell="A4">
      <pane xSplit="3" ySplit="7" topLeftCell="F11" activePane="bottomRight" state="frozen"/>
      <selection pane="topLeft" activeCell="A4" sqref="A4"/>
      <selection pane="topRight" activeCell="D4" sqref="D4"/>
      <selection pane="bottomLeft" activeCell="A12" sqref="A12"/>
      <selection pane="bottomRight" activeCell="B5" sqref="B5:W5"/>
    </sheetView>
  </sheetViews>
  <sheetFormatPr defaultColWidth="9.140625" defaultRowHeight="15"/>
  <cols>
    <col min="2" max="2" width="6.28125" style="4" customWidth="1"/>
    <col min="3" max="3" width="26.57421875" style="4" customWidth="1"/>
    <col min="4" max="4" width="60.28125" style="4" customWidth="1"/>
    <col min="5" max="5" width="45.8515625" style="4" customWidth="1"/>
    <col min="6" max="6" width="50.00390625" style="4" customWidth="1"/>
    <col min="7" max="10" width="13.140625" style="0" customWidth="1"/>
    <col min="11" max="11" width="12.7109375" style="0" customWidth="1"/>
    <col min="12" max="15" width="13.140625" style="0" customWidth="1"/>
    <col min="16" max="21" width="13.140625" style="4" customWidth="1"/>
    <col min="23" max="23" width="18.28125" style="20" customWidth="1"/>
  </cols>
  <sheetData>
    <row r="1" ht="14.25">
      <c r="F1"/>
    </row>
    <row r="2" s="4" customFormat="1" ht="14.25">
      <c r="W2" s="20"/>
    </row>
    <row r="3" spans="6:23" s="4" customFormat="1" ht="15">
      <c r="F3" s="69"/>
      <c r="W3" s="117" t="s">
        <v>166</v>
      </c>
    </row>
    <row r="4" spans="16:23" s="4" customFormat="1" ht="18">
      <c r="P4" s="162" t="s">
        <v>200</v>
      </c>
      <c r="W4" s="20"/>
    </row>
    <row r="5" spans="2:23" s="4" customFormat="1" ht="43.5" customHeight="1">
      <c r="B5" s="194" t="s">
        <v>76</v>
      </c>
      <c r="C5" s="194"/>
      <c r="D5" s="194"/>
      <c r="E5" s="194"/>
      <c r="F5" s="194"/>
      <c r="G5" s="194"/>
      <c r="H5" s="194"/>
      <c r="I5" s="194"/>
      <c r="J5" s="194"/>
      <c r="K5" s="194"/>
      <c r="L5" s="194"/>
      <c r="M5" s="194"/>
      <c r="N5" s="194"/>
      <c r="O5" s="194"/>
      <c r="P5" s="194"/>
      <c r="Q5" s="194"/>
      <c r="R5" s="194"/>
      <c r="S5" s="194"/>
      <c r="T5" s="194"/>
      <c r="U5" s="194"/>
      <c r="V5" s="194"/>
      <c r="W5" s="194"/>
    </row>
    <row r="6" s="4" customFormat="1" ht="14.25">
      <c r="W6" s="20"/>
    </row>
    <row r="7" spans="2:23" s="4" customFormat="1" ht="38.25" customHeight="1">
      <c r="B7" s="200" t="s">
        <v>84</v>
      </c>
      <c r="C7" s="188" t="s">
        <v>18</v>
      </c>
      <c r="D7" s="190" t="s">
        <v>5</v>
      </c>
      <c r="E7" s="190" t="s">
        <v>13</v>
      </c>
      <c r="F7" s="192" t="s">
        <v>12</v>
      </c>
      <c r="G7" s="186" t="s">
        <v>7</v>
      </c>
      <c r="H7" s="186" t="s">
        <v>9</v>
      </c>
      <c r="I7" s="186" t="s">
        <v>8</v>
      </c>
      <c r="J7" s="195" t="s">
        <v>77</v>
      </c>
      <c r="K7" s="196"/>
      <c r="L7" s="195" t="s">
        <v>78</v>
      </c>
      <c r="M7" s="196"/>
      <c r="N7" s="195" t="s">
        <v>79</v>
      </c>
      <c r="O7" s="196"/>
      <c r="P7" s="195" t="s">
        <v>80</v>
      </c>
      <c r="Q7" s="196"/>
      <c r="R7" s="195" t="s">
        <v>81</v>
      </c>
      <c r="S7" s="196"/>
      <c r="T7" s="195" t="s">
        <v>82</v>
      </c>
      <c r="U7" s="196"/>
      <c r="W7" s="184" t="s">
        <v>105</v>
      </c>
    </row>
    <row r="8" spans="2:23" s="4" customFormat="1" ht="77.25" customHeight="1">
      <c r="B8" s="201"/>
      <c r="C8" s="189"/>
      <c r="D8" s="191"/>
      <c r="E8" s="191"/>
      <c r="F8" s="193"/>
      <c r="G8" s="187"/>
      <c r="H8" s="187"/>
      <c r="I8" s="187"/>
      <c r="J8" s="70" t="s">
        <v>15</v>
      </c>
      <c r="K8" s="70" t="s">
        <v>16</v>
      </c>
      <c r="L8" s="70" t="s">
        <v>15</v>
      </c>
      <c r="M8" s="70" t="s">
        <v>16</v>
      </c>
      <c r="N8" s="70" t="s">
        <v>15</v>
      </c>
      <c r="O8" s="70" t="s">
        <v>16</v>
      </c>
      <c r="P8" s="70" t="s">
        <v>15</v>
      </c>
      <c r="Q8" s="70" t="s">
        <v>16</v>
      </c>
      <c r="R8" s="70" t="s">
        <v>15</v>
      </c>
      <c r="S8" s="70" t="s">
        <v>16</v>
      </c>
      <c r="T8" s="70" t="s">
        <v>15</v>
      </c>
      <c r="U8" s="70" t="s">
        <v>16</v>
      </c>
      <c r="W8" s="185"/>
    </row>
    <row r="9" spans="2:23" s="4" customFormat="1" ht="20.25" customHeight="1">
      <c r="B9" s="81"/>
      <c r="C9" s="82" t="s">
        <v>83</v>
      </c>
      <c r="D9" s="73"/>
      <c r="E9" s="73"/>
      <c r="F9" s="74"/>
      <c r="G9" s="75"/>
      <c r="H9" s="75">
        <f>J9+L9+N9+P9+R9+T9</f>
        <v>264</v>
      </c>
      <c r="I9" s="76"/>
      <c r="J9" s="77">
        <v>62</v>
      </c>
      <c r="K9" s="78"/>
      <c r="L9" s="79">
        <v>18</v>
      </c>
      <c r="M9" s="78"/>
      <c r="N9" s="90">
        <v>56</v>
      </c>
      <c r="O9" s="78"/>
      <c r="P9" s="79">
        <v>32</v>
      </c>
      <c r="Q9" s="78"/>
      <c r="R9" s="79">
        <v>12</v>
      </c>
      <c r="S9" s="78"/>
      <c r="T9" s="77">
        <v>84</v>
      </c>
      <c r="U9" s="78"/>
      <c r="W9" s="96"/>
    </row>
    <row r="10" spans="2:23" s="4" customFormat="1" ht="17.25" customHeight="1">
      <c r="B10" s="10">
        <v>1</v>
      </c>
      <c r="C10" s="197" t="s">
        <v>62</v>
      </c>
      <c r="D10" s="198"/>
      <c r="E10" s="198"/>
      <c r="F10" s="199"/>
      <c r="G10" s="72">
        <f>SUM(G11:G13)</f>
        <v>512.4000000000001</v>
      </c>
      <c r="H10" s="10">
        <f>$H$9</f>
        <v>264</v>
      </c>
      <c r="I10" s="105">
        <f>SUM(I11:I13)</f>
        <v>135276</v>
      </c>
      <c r="J10" s="72">
        <f>$J$9</f>
        <v>62</v>
      </c>
      <c r="K10" s="105">
        <f>SUM(K11:K13)</f>
        <v>31768.800000000003</v>
      </c>
      <c r="L10" s="72">
        <f>$L$9</f>
        <v>18</v>
      </c>
      <c r="M10" s="105">
        <f>SUM(M11:M13)</f>
        <v>9223.2</v>
      </c>
      <c r="N10" s="72">
        <f>$N$9</f>
        <v>56</v>
      </c>
      <c r="O10" s="105">
        <f>SUM(O11:O13)</f>
        <v>28694.4</v>
      </c>
      <c r="P10" s="72">
        <f>$P$9</f>
        <v>32</v>
      </c>
      <c r="Q10" s="105">
        <f>SUM(Q11:Q13)</f>
        <v>16396.800000000003</v>
      </c>
      <c r="R10" s="72">
        <f>$R$9</f>
        <v>12</v>
      </c>
      <c r="S10" s="105">
        <f>SUM(S11:S13)</f>
        <v>6148.799999999999</v>
      </c>
      <c r="T10" s="72">
        <f>$T$9</f>
        <v>84</v>
      </c>
      <c r="U10" s="105">
        <f>SUM(U11:U13)</f>
        <v>43041.600000000006</v>
      </c>
      <c r="W10" s="80">
        <f aca="true" t="shared" si="0" ref="W10:W18">I10-K10-M10-O10-Q10-S10-U10</f>
        <v>2.3999999999941792</v>
      </c>
    </row>
    <row r="11" spans="2:23" s="4" customFormat="1" ht="99.75" customHeight="1">
      <c r="B11" s="94">
        <v>1.1</v>
      </c>
      <c r="C11" s="150" t="s">
        <v>4</v>
      </c>
      <c r="D11" s="84" t="s">
        <v>63</v>
      </c>
      <c r="E11" s="84" t="s">
        <v>91</v>
      </c>
      <c r="F11" s="84"/>
      <c r="G11" s="115">
        <f>ROUND(I11/H11,2)</f>
        <v>92.84</v>
      </c>
      <c r="H11" s="83">
        <f>$H$9</f>
        <v>264</v>
      </c>
      <c r="I11" s="116">
        <f>ROUND(2042.61*12,0)</f>
        <v>24511</v>
      </c>
      <c r="J11" s="115">
        <f>$J$9</f>
        <v>62</v>
      </c>
      <c r="K11" s="116">
        <f>J11*$G$11</f>
        <v>5756.08</v>
      </c>
      <c r="L11" s="115">
        <f>$L$9</f>
        <v>18</v>
      </c>
      <c r="M11" s="116">
        <f>L11*$G$11</f>
        <v>1671.1200000000001</v>
      </c>
      <c r="N11" s="115">
        <f>$N$9</f>
        <v>56</v>
      </c>
      <c r="O11" s="116">
        <f>N11*$G$11</f>
        <v>5199.04</v>
      </c>
      <c r="P11" s="115">
        <f>$P$9</f>
        <v>32</v>
      </c>
      <c r="Q11" s="116">
        <f>P11*$G$11</f>
        <v>2970.88</v>
      </c>
      <c r="R11" s="115">
        <f>$R$9</f>
        <v>12</v>
      </c>
      <c r="S11" s="116">
        <f>R11*$G$11</f>
        <v>1114.08</v>
      </c>
      <c r="T11" s="115">
        <f>$T$9</f>
        <v>84</v>
      </c>
      <c r="U11" s="116">
        <f>T11*$G$11</f>
        <v>7798.56</v>
      </c>
      <c r="W11" s="80">
        <f t="shared" si="0"/>
        <v>1.2399999999970532</v>
      </c>
    </row>
    <row r="12" spans="2:23" ht="102.75" customHeight="1">
      <c r="B12" s="94">
        <v>1.2</v>
      </c>
      <c r="C12" s="150" t="s">
        <v>3</v>
      </c>
      <c r="D12" s="84" t="s">
        <v>64</v>
      </c>
      <c r="E12" s="84" t="s">
        <v>92</v>
      </c>
      <c r="F12" s="84" t="s">
        <v>75</v>
      </c>
      <c r="G12" s="115">
        <f>ROUND(I12/H12,2)</f>
        <v>233.87</v>
      </c>
      <c r="H12" s="83">
        <f>$H$9</f>
        <v>264</v>
      </c>
      <c r="I12" s="116">
        <f>ROUND(1715.06*12*3,0)</f>
        <v>61742</v>
      </c>
      <c r="J12" s="115">
        <f>$J$9</f>
        <v>62</v>
      </c>
      <c r="K12" s="116">
        <f>J12*$G$12</f>
        <v>14499.94</v>
      </c>
      <c r="L12" s="115">
        <f>$L$9</f>
        <v>18</v>
      </c>
      <c r="M12" s="116">
        <f>L12*$G$12</f>
        <v>4209.66</v>
      </c>
      <c r="N12" s="115">
        <f>$N$9</f>
        <v>56</v>
      </c>
      <c r="O12" s="116">
        <f>N12*$G$12</f>
        <v>13096.720000000001</v>
      </c>
      <c r="P12" s="115">
        <f>$P$9</f>
        <v>32</v>
      </c>
      <c r="Q12" s="116">
        <f>P12*$G$12</f>
        <v>7483.84</v>
      </c>
      <c r="R12" s="115">
        <f>$R$9</f>
        <v>12</v>
      </c>
      <c r="S12" s="116">
        <f>R12*$G$12</f>
        <v>2806.44</v>
      </c>
      <c r="T12" s="115">
        <f>$T$9</f>
        <v>84</v>
      </c>
      <c r="U12" s="116">
        <f>T12*$G$12</f>
        <v>19645.08</v>
      </c>
      <c r="W12" s="80">
        <f t="shared" si="0"/>
        <v>0.319999999992433</v>
      </c>
    </row>
    <row r="13" spans="2:23" ht="108.75">
      <c r="B13" s="94">
        <v>1.3</v>
      </c>
      <c r="C13" s="150" t="s">
        <v>17</v>
      </c>
      <c r="D13" s="84" t="s">
        <v>65</v>
      </c>
      <c r="E13" s="84" t="s">
        <v>93</v>
      </c>
      <c r="F13" s="84" t="s">
        <v>74</v>
      </c>
      <c r="G13" s="115">
        <f>ROUND(I13/H13,2)</f>
        <v>185.69</v>
      </c>
      <c r="H13" s="83">
        <f>$H$9</f>
        <v>264</v>
      </c>
      <c r="I13" s="116">
        <f>ROUND(2042.61*2*12,0)</f>
        <v>49023</v>
      </c>
      <c r="J13" s="115">
        <f>$J$9</f>
        <v>62</v>
      </c>
      <c r="K13" s="116">
        <f>J13*$G$13</f>
        <v>11512.78</v>
      </c>
      <c r="L13" s="115">
        <f>$L$9</f>
        <v>18</v>
      </c>
      <c r="M13" s="116">
        <f>L13*$G$13</f>
        <v>3342.42</v>
      </c>
      <c r="N13" s="115">
        <f>$N$9</f>
        <v>56</v>
      </c>
      <c r="O13" s="116">
        <f>N13*$G$13</f>
        <v>10398.64</v>
      </c>
      <c r="P13" s="115">
        <f>$P$9</f>
        <v>32</v>
      </c>
      <c r="Q13" s="116">
        <f>P13*$G$13</f>
        <v>5942.08</v>
      </c>
      <c r="R13" s="115">
        <f>$R$9</f>
        <v>12</v>
      </c>
      <c r="S13" s="116">
        <f>R13*$G$13</f>
        <v>2228.2799999999997</v>
      </c>
      <c r="T13" s="115">
        <f>$T$9</f>
        <v>84</v>
      </c>
      <c r="U13" s="116">
        <f>T13*$G$13</f>
        <v>15597.96</v>
      </c>
      <c r="W13" s="80">
        <f t="shared" si="0"/>
        <v>0.8400000000037835</v>
      </c>
    </row>
    <row r="14" spans="2:23" ht="144" customHeight="1">
      <c r="B14" s="87">
        <v>2</v>
      </c>
      <c r="C14" s="153" t="s">
        <v>67</v>
      </c>
      <c r="D14" s="136" t="s">
        <v>68</v>
      </c>
      <c r="E14" s="137" t="s">
        <v>96</v>
      </c>
      <c r="F14" s="84" t="s">
        <v>88</v>
      </c>
      <c r="G14" s="72">
        <v>54.4</v>
      </c>
      <c r="H14" s="10">
        <f>J14+L14+N14+P14+R14+T14</f>
        <v>80</v>
      </c>
      <c r="I14" s="105">
        <f>16*271.9</f>
        <v>4350.4</v>
      </c>
      <c r="J14" s="72">
        <f>$J$9</f>
        <v>62</v>
      </c>
      <c r="K14" s="72">
        <f>J14*G14</f>
        <v>3372.7999999999997</v>
      </c>
      <c r="L14" s="72">
        <f>$L$9</f>
        <v>18</v>
      </c>
      <c r="M14" s="72">
        <f>L14*G14</f>
        <v>979.1999999999999</v>
      </c>
      <c r="N14" s="108"/>
      <c r="O14" s="108"/>
      <c r="P14" s="108"/>
      <c r="Q14" s="108"/>
      <c r="R14" s="108"/>
      <c r="S14" s="108"/>
      <c r="T14" s="108"/>
      <c r="U14" s="108"/>
      <c r="W14" s="80">
        <f t="shared" si="0"/>
        <v>-1.6000000000000227</v>
      </c>
    </row>
    <row r="15" spans="2:23" s="4" customFormat="1" ht="120.75" customHeight="1">
      <c r="B15" s="89"/>
      <c r="C15" s="155"/>
      <c r="D15" s="85"/>
      <c r="E15" s="204" t="s">
        <v>98</v>
      </c>
      <c r="F15" s="202" t="s">
        <v>97</v>
      </c>
      <c r="G15" s="72">
        <f>ROUND(271.9+(271.9*14/H15),2)</f>
        <v>327.88</v>
      </c>
      <c r="H15" s="10">
        <f>N15+R15+P15</f>
        <v>68</v>
      </c>
      <c r="I15" s="105">
        <f>G15*H15</f>
        <v>22295.84</v>
      </c>
      <c r="J15" s="108"/>
      <c r="K15" s="108"/>
      <c r="L15" s="108"/>
      <c r="M15" s="108"/>
      <c r="N15" s="72">
        <f>N9</f>
        <v>56</v>
      </c>
      <c r="O15" s="105">
        <f>ROUND(G15*N15,0)</f>
        <v>18361</v>
      </c>
      <c r="P15" s="72">
        <v>0</v>
      </c>
      <c r="Q15" s="105">
        <f>ROUND(G15*P15,0)</f>
        <v>0</v>
      </c>
      <c r="R15" s="72">
        <f>R9</f>
        <v>12</v>
      </c>
      <c r="S15" s="105">
        <f>ROUND(R15*G15,0)</f>
        <v>3935</v>
      </c>
      <c r="T15" s="108"/>
      <c r="U15" s="108"/>
      <c r="W15" s="80">
        <f t="shared" si="0"/>
        <v>-0.15999999999985448</v>
      </c>
    </row>
    <row r="16" spans="2:23" s="4" customFormat="1" ht="113.25" customHeight="1">
      <c r="B16" s="89"/>
      <c r="C16" s="155"/>
      <c r="D16" s="85"/>
      <c r="E16" s="205"/>
      <c r="F16" s="203"/>
      <c r="G16" s="72">
        <f>ROUND(271.9*3,2)</f>
        <v>815.7</v>
      </c>
      <c r="H16" s="10">
        <f>N16+R16+P16</f>
        <v>32</v>
      </c>
      <c r="I16" s="105">
        <f>G16*H16</f>
        <v>26102.4</v>
      </c>
      <c r="J16" s="108"/>
      <c r="K16" s="108"/>
      <c r="L16" s="108"/>
      <c r="M16" s="108"/>
      <c r="N16" s="72">
        <v>0</v>
      </c>
      <c r="O16" s="105">
        <v>0</v>
      </c>
      <c r="P16" s="72">
        <f>P9</f>
        <v>32</v>
      </c>
      <c r="Q16" s="105">
        <f>G16*P16</f>
        <v>26102.4</v>
      </c>
      <c r="R16" s="72">
        <v>0</v>
      </c>
      <c r="S16" s="105">
        <v>0</v>
      </c>
      <c r="T16" s="108"/>
      <c r="U16" s="108"/>
      <c r="W16" s="80">
        <f t="shared" si="0"/>
        <v>0</v>
      </c>
    </row>
    <row r="17" spans="2:23" s="4" customFormat="1" ht="33" customHeight="1">
      <c r="B17" s="88"/>
      <c r="C17" s="154"/>
      <c r="D17" s="86"/>
      <c r="E17" s="138" t="s">
        <v>90</v>
      </c>
      <c r="F17" s="84" t="s">
        <v>89</v>
      </c>
      <c r="G17" s="72">
        <f>271.9*3</f>
        <v>815.6999999999999</v>
      </c>
      <c r="H17" s="10">
        <f>J17+L17+N17+P17+R17+T17</f>
        <v>84</v>
      </c>
      <c r="I17" s="105">
        <f>G17*H17</f>
        <v>68518.79999999999</v>
      </c>
      <c r="J17" s="108"/>
      <c r="K17" s="108"/>
      <c r="L17" s="108"/>
      <c r="M17" s="108"/>
      <c r="N17" s="108"/>
      <c r="O17" s="108"/>
      <c r="P17" s="108"/>
      <c r="Q17" s="108"/>
      <c r="R17" s="108"/>
      <c r="S17" s="108"/>
      <c r="T17" s="72">
        <f>T9</f>
        <v>84</v>
      </c>
      <c r="U17" s="105">
        <f>G17*T17</f>
        <v>68518.79999999999</v>
      </c>
      <c r="W17" s="80">
        <f t="shared" si="0"/>
        <v>0</v>
      </c>
    </row>
    <row r="18" spans="2:23" ht="135" customHeight="1">
      <c r="B18" s="91">
        <v>3</v>
      </c>
      <c r="C18" s="150" t="s">
        <v>61</v>
      </c>
      <c r="D18" s="84" t="s">
        <v>100</v>
      </c>
      <c r="E18" s="84" t="s">
        <v>104</v>
      </c>
      <c r="F18" s="84" t="s">
        <v>99</v>
      </c>
      <c r="G18" s="72">
        <f>ROUND(I18/H18,2)</f>
        <v>16.43</v>
      </c>
      <c r="H18" s="10">
        <f>J18+L18+N18+P18+R18+T18</f>
        <v>62</v>
      </c>
      <c r="I18" s="72">
        <f>8*127.3</f>
        <v>1018.4</v>
      </c>
      <c r="J18" s="72">
        <f>J10</f>
        <v>62</v>
      </c>
      <c r="K18" s="72">
        <f>J18*G18</f>
        <v>1018.66</v>
      </c>
      <c r="L18" s="108"/>
      <c r="M18" s="108"/>
      <c r="N18" s="108"/>
      <c r="O18" s="108"/>
      <c r="P18" s="108"/>
      <c r="Q18" s="108"/>
      <c r="R18" s="108"/>
      <c r="S18" s="108"/>
      <c r="T18" s="108"/>
      <c r="U18" s="108"/>
      <c r="W18" s="80">
        <f t="shared" si="0"/>
        <v>-0.2599999999999909</v>
      </c>
    </row>
    <row r="19" spans="6:23" s="4" customFormat="1" ht="18.75" customHeight="1">
      <c r="F19" s="12" t="s">
        <v>107</v>
      </c>
      <c r="G19" s="111" t="s">
        <v>106</v>
      </c>
      <c r="H19" s="10" t="s">
        <v>106</v>
      </c>
      <c r="I19" s="112">
        <f>SUM(I14:I18)+I10</f>
        <v>257561.83999999997</v>
      </c>
      <c r="J19" s="206">
        <f>SUM(K14:K18)+K10</f>
        <v>36160.26</v>
      </c>
      <c r="K19" s="207"/>
      <c r="L19" s="206">
        <f>SUM(M14:M18)+M10</f>
        <v>10202.400000000001</v>
      </c>
      <c r="M19" s="207"/>
      <c r="N19" s="206">
        <f>SUM(O14:O18)+O10</f>
        <v>47055.4</v>
      </c>
      <c r="O19" s="207"/>
      <c r="P19" s="206">
        <f>SUM(Q14:Q18)+Q10</f>
        <v>42499.200000000004</v>
      </c>
      <c r="Q19" s="207"/>
      <c r="R19" s="206">
        <f>SUM(S14:S18)+S10</f>
        <v>10083.8</v>
      </c>
      <c r="S19" s="207"/>
      <c r="T19" s="206">
        <f>SUM(U14:U18)+U10</f>
        <v>111560.4</v>
      </c>
      <c r="U19" s="207"/>
      <c r="W19" s="97">
        <f>I19-J19-L19-N19-P19-R19-T19</f>
        <v>0.37999999996100087</v>
      </c>
    </row>
  </sheetData>
  <sheetProtection/>
  <mergeCells count="25">
    <mergeCell ref="F15:F16"/>
    <mergeCell ref="E15:E16"/>
    <mergeCell ref="T19:U19"/>
    <mergeCell ref="R19:S19"/>
    <mergeCell ref="P19:Q19"/>
    <mergeCell ref="N19:O19"/>
    <mergeCell ref="L19:M19"/>
    <mergeCell ref="J19:K19"/>
    <mergeCell ref="B5:W5"/>
    <mergeCell ref="J7:K7"/>
    <mergeCell ref="L7:M7"/>
    <mergeCell ref="N7:O7"/>
    <mergeCell ref="C10:F10"/>
    <mergeCell ref="P7:Q7"/>
    <mergeCell ref="R7:S7"/>
    <mergeCell ref="T7:U7"/>
    <mergeCell ref="B7:B8"/>
    <mergeCell ref="G7:G8"/>
    <mergeCell ref="W7:W8"/>
    <mergeCell ref="H7:H8"/>
    <mergeCell ref="I7:I8"/>
    <mergeCell ref="C7:C8"/>
    <mergeCell ref="D7:D8"/>
    <mergeCell ref="E7:E8"/>
    <mergeCell ref="F7:F8"/>
  </mergeCells>
  <printOptions/>
  <pageMargins left="0.25" right="0.25" top="0.75" bottom="0.75" header="0.3" footer="0.3"/>
  <pageSetup fitToHeight="0"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B2:W28"/>
  <sheetViews>
    <sheetView showGridLines="0" zoomScale="63" zoomScaleNormal="63" zoomScalePageLayoutView="0" workbookViewId="0" topLeftCell="C4">
      <pane xSplit="1" ySplit="6" topLeftCell="F10" activePane="bottomRight" state="frozen"/>
      <selection pane="topLeft" activeCell="C4" sqref="C4"/>
      <selection pane="topRight" activeCell="D4" sqref="D4"/>
      <selection pane="bottomLeft" activeCell="C11" sqref="C11"/>
      <selection pane="bottomRight" activeCell="B5" sqref="B5:W5"/>
    </sheetView>
  </sheetViews>
  <sheetFormatPr defaultColWidth="9.140625" defaultRowHeight="15"/>
  <cols>
    <col min="1" max="1" width="8.8515625" style="4" customWidth="1"/>
    <col min="2" max="2" width="6.28125" style="4" customWidth="1"/>
    <col min="3" max="3" width="30.28125" style="4" customWidth="1"/>
    <col min="4" max="4" width="51.28125" style="4" customWidth="1"/>
    <col min="5" max="5" width="45.8515625" style="4" customWidth="1"/>
    <col min="6" max="6" width="50.00390625" style="4" customWidth="1"/>
    <col min="7" max="10" width="13.140625" style="4" customWidth="1"/>
    <col min="11" max="11" width="12.7109375" style="4" customWidth="1"/>
    <col min="12" max="21" width="13.140625" style="4" customWidth="1"/>
    <col min="22" max="22" width="8.8515625" style="4" customWidth="1"/>
    <col min="23" max="23" width="15.7109375" style="20" customWidth="1"/>
    <col min="24" max="16384" width="8.8515625" style="4" customWidth="1"/>
  </cols>
  <sheetData>
    <row r="2" ht="15">
      <c r="W2" s="69" t="s">
        <v>142</v>
      </c>
    </row>
    <row r="4" ht="18">
      <c r="S4" s="162" t="s">
        <v>201</v>
      </c>
    </row>
    <row r="5" spans="2:23" ht="43.5" customHeight="1">
      <c r="B5" s="194" t="s">
        <v>186</v>
      </c>
      <c r="C5" s="194"/>
      <c r="D5" s="194"/>
      <c r="E5" s="194"/>
      <c r="F5" s="194"/>
      <c r="G5" s="194"/>
      <c r="H5" s="194"/>
      <c r="I5" s="194"/>
      <c r="J5" s="194"/>
      <c r="K5" s="194"/>
      <c r="L5" s="194"/>
      <c r="M5" s="194"/>
      <c r="N5" s="194"/>
      <c r="O5" s="194"/>
      <c r="P5" s="194"/>
      <c r="Q5" s="194"/>
      <c r="R5" s="194"/>
      <c r="S5" s="194"/>
      <c r="T5" s="194"/>
      <c r="U5" s="194"/>
      <c r="V5" s="194"/>
      <c r="W5" s="194"/>
    </row>
    <row r="7" spans="2:23" ht="36.75" customHeight="1">
      <c r="B7" s="200" t="s">
        <v>84</v>
      </c>
      <c r="C7" s="188" t="s">
        <v>18</v>
      </c>
      <c r="D7" s="190" t="s">
        <v>5</v>
      </c>
      <c r="E7" s="190" t="s">
        <v>13</v>
      </c>
      <c r="F7" s="192" t="s">
        <v>12</v>
      </c>
      <c r="G7" s="186" t="s">
        <v>7</v>
      </c>
      <c r="H7" s="186" t="s">
        <v>9</v>
      </c>
      <c r="I7" s="186" t="s">
        <v>8</v>
      </c>
      <c r="J7" s="195" t="s">
        <v>77</v>
      </c>
      <c r="K7" s="196"/>
      <c r="L7" s="195" t="s">
        <v>78</v>
      </c>
      <c r="M7" s="196"/>
      <c r="N7" s="195" t="s">
        <v>155</v>
      </c>
      <c r="O7" s="196"/>
      <c r="P7" s="195" t="s">
        <v>156</v>
      </c>
      <c r="Q7" s="196"/>
      <c r="R7" s="195" t="s">
        <v>157</v>
      </c>
      <c r="S7" s="196"/>
      <c r="T7" s="195" t="s">
        <v>82</v>
      </c>
      <c r="U7" s="196"/>
      <c r="W7" s="184" t="s">
        <v>105</v>
      </c>
    </row>
    <row r="8" spans="2:23" ht="77.25" customHeight="1">
      <c r="B8" s="201"/>
      <c r="C8" s="189"/>
      <c r="D8" s="191"/>
      <c r="E8" s="191"/>
      <c r="F8" s="193"/>
      <c r="G8" s="187"/>
      <c r="H8" s="187"/>
      <c r="I8" s="187"/>
      <c r="J8" s="70" t="s">
        <v>15</v>
      </c>
      <c r="K8" s="70" t="s">
        <v>16</v>
      </c>
      <c r="L8" s="70" t="s">
        <v>15</v>
      </c>
      <c r="M8" s="70" t="s">
        <v>16</v>
      </c>
      <c r="N8" s="70" t="s">
        <v>15</v>
      </c>
      <c r="O8" s="70" t="s">
        <v>16</v>
      </c>
      <c r="P8" s="70" t="s">
        <v>15</v>
      </c>
      <c r="Q8" s="70" t="s">
        <v>16</v>
      </c>
      <c r="R8" s="70" t="s">
        <v>15</v>
      </c>
      <c r="S8" s="70" t="s">
        <v>16</v>
      </c>
      <c r="T8" s="70" t="s">
        <v>15</v>
      </c>
      <c r="U8" s="70" t="s">
        <v>16</v>
      </c>
      <c r="W8" s="185"/>
    </row>
    <row r="9" spans="2:23" ht="20.25" customHeight="1">
      <c r="B9" s="100"/>
      <c r="C9" s="103" t="s">
        <v>83</v>
      </c>
      <c r="D9" s="104"/>
      <c r="E9" s="73"/>
      <c r="F9" s="74"/>
      <c r="G9" s="75"/>
      <c r="H9" s="75">
        <f>J9+L9+N9+P9+R9+T9</f>
        <v>264</v>
      </c>
      <c r="I9" s="76"/>
      <c r="J9" s="77">
        <v>62</v>
      </c>
      <c r="K9" s="78"/>
      <c r="L9" s="79">
        <v>18</v>
      </c>
      <c r="M9" s="78"/>
      <c r="N9" s="90">
        <v>56</v>
      </c>
      <c r="O9" s="78"/>
      <c r="P9" s="79">
        <v>32</v>
      </c>
      <c r="Q9" s="78"/>
      <c r="R9" s="79">
        <v>12</v>
      </c>
      <c r="S9" s="78"/>
      <c r="T9" s="77">
        <v>84</v>
      </c>
      <c r="U9" s="78"/>
      <c r="W9" s="96"/>
    </row>
    <row r="10" spans="2:23" ht="110.25" customHeight="1">
      <c r="B10" s="2">
        <v>1</v>
      </c>
      <c r="C10" s="150" t="s">
        <v>86</v>
      </c>
      <c r="D10" s="84" t="s">
        <v>71</v>
      </c>
      <c r="E10" s="84" t="s">
        <v>94</v>
      </c>
      <c r="F10" s="84" t="s">
        <v>59</v>
      </c>
      <c r="G10" s="72">
        <f>ROUND(I10/H10,2)</f>
        <v>56.87</v>
      </c>
      <c r="H10" s="10">
        <f>J10+L10+N10+P10+R10+T10</f>
        <v>264</v>
      </c>
      <c r="I10" s="105">
        <f>ROUND(1251.15*12,0)</f>
        <v>15014</v>
      </c>
      <c r="J10" s="72">
        <f>J9</f>
        <v>62</v>
      </c>
      <c r="K10" s="105">
        <f>J10*$G$10</f>
        <v>3525.94</v>
      </c>
      <c r="L10" s="72">
        <f>L9</f>
        <v>18</v>
      </c>
      <c r="M10" s="105">
        <f>L10*$G$10</f>
        <v>1023.66</v>
      </c>
      <c r="N10" s="72">
        <f>N9</f>
        <v>56</v>
      </c>
      <c r="O10" s="105">
        <f>N10*$G$10</f>
        <v>3184.72</v>
      </c>
      <c r="P10" s="72">
        <f>P9</f>
        <v>32</v>
      </c>
      <c r="Q10" s="105">
        <f>P10*$G$10</f>
        <v>1819.84</v>
      </c>
      <c r="R10" s="72">
        <f>R9</f>
        <v>12</v>
      </c>
      <c r="S10" s="105">
        <f>R10*$G$10</f>
        <v>682.4399999999999</v>
      </c>
      <c r="T10" s="72">
        <f>T9</f>
        <v>84</v>
      </c>
      <c r="U10" s="105">
        <f>T10*$G$10</f>
        <v>4777.08</v>
      </c>
      <c r="V10" s="9"/>
      <c r="W10" s="106">
        <f>I10-K10-M10-O10-Q10-S10-U10</f>
        <v>0.32000000000061846</v>
      </c>
    </row>
    <row r="11" spans="2:23" ht="184.5" customHeight="1">
      <c r="B11" s="93">
        <v>2</v>
      </c>
      <c r="C11" s="152" t="s">
        <v>66</v>
      </c>
      <c r="D11" s="144" t="s">
        <v>72</v>
      </c>
      <c r="E11" s="84" t="s">
        <v>95</v>
      </c>
      <c r="F11" s="84" t="s">
        <v>73</v>
      </c>
      <c r="G11" s="72">
        <f>ROUND(I11/H11,2)</f>
        <v>15.59</v>
      </c>
      <c r="H11" s="10">
        <f>J11+L11+N11+P11+R11+T11</f>
        <v>264</v>
      </c>
      <c r="I11" s="105">
        <f>ROUND(343.01*12,0)</f>
        <v>4116</v>
      </c>
      <c r="J11" s="72">
        <f>J9</f>
        <v>62</v>
      </c>
      <c r="K11" s="105">
        <f>J11*$G$11</f>
        <v>966.58</v>
      </c>
      <c r="L11" s="72">
        <f>L9</f>
        <v>18</v>
      </c>
      <c r="M11" s="105">
        <f>L11*$G$11</f>
        <v>280.62</v>
      </c>
      <c r="N11" s="72">
        <f>N9</f>
        <v>56</v>
      </c>
      <c r="O11" s="105">
        <f>N11*$G$11</f>
        <v>873.04</v>
      </c>
      <c r="P11" s="72">
        <f>P9</f>
        <v>32</v>
      </c>
      <c r="Q11" s="105">
        <f>P11*$G$11</f>
        <v>498.88</v>
      </c>
      <c r="R11" s="72">
        <f>R9</f>
        <v>12</v>
      </c>
      <c r="S11" s="105">
        <f>R11*$G$11</f>
        <v>187.07999999999998</v>
      </c>
      <c r="T11" s="72">
        <f>T9</f>
        <v>84</v>
      </c>
      <c r="U11" s="105">
        <f>T11*$G$11</f>
        <v>1309.56</v>
      </c>
      <c r="V11" s="9"/>
      <c r="W11" s="106">
        <f>I11-K11-M11-O11-Q11-S11-U11</f>
        <v>0.24000000000023647</v>
      </c>
    </row>
    <row r="12" spans="2:23" ht="150" customHeight="1">
      <c r="B12" s="208">
        <v>3</v>
      </c>
      <c r="C12" s="209" t="s">
        <v>70</v>
      </c>
      <c r="D12" s="144" t="s">
        <v>69</v>
      </c>
      <c r="E12" s="138" t="s">
        <v>102</v>
      </c>
      <c r="F12" s="144" t="s">
        <v>101</v>
      </c>
      <c r="G12" s="107">
        <f>9.04*3*2</f>
        <v>54.239999999999995</v>
      </c>
      <c r="H12" s="10">
        <f>J12+L12+N12+P12+R12+T12</f>
        <v>94</v>
      </c>
      <c r="I12" s="72">
        <f>G12*H12</f>
        <v>5098.5599999999995</v>
      </c>
      <c r="J12" s="72">
        <f>J9</f>
        <v>62</v>
      </c>
      <c r="K12" s="72">
        <f>J12*G12</f>
        <v>3362.8799999999997</v>
      </c>
      <c r="L12" s="108"/>
      <c r="M12" s="108"/>
      <c r="N12" s="108"/>
      <c r="O12" s="108"/>
      <c r="P12" s="72">
        <f>P9</f>
        <v>32</v>
      </c>
      <c r="Q12" s="72">
        <f>P12*G12</f>
        <v>1735.6799999999998</v>
      </c>
      <c r="R12" s="108"/>
      <c r="S12" s="108"/>
      <c r="T12" s="108"/>
      <c r="U12" s="108"/>
      <c r="V12" s="9"/>
      <c r="W12" s="106">
        <f>I12-K12-M12-O12-Q12-S12-U12</f>
        <v>0</v>
      </c>
    </row>
    <row r="13" spans="2:23" ht="135" customHeight="1">
      <c r="B13" s="208"/>
      <c r="C13" s="209"/>
      <c r="D13" s="145"/>
      <c r="E13" s="146" t="s">
        <v>103</v>
      </c>
      <c r="F13" s="145"/>
      <c r="G13" s="72">
        <f>9.04*6*2</f>
        <v>108.47999999999999</v>
      </c>
      <c r="H13" s="10">
        <f>J13+L13+N13+P13+R13+T13</f>
        <v>84</v>
      </c>
      <c r="I13" s="72">
        <f>G13*H13</f>
        <v>9112.32</v>
      </c>
      <c r="J13" s="108"/>
      <c r="K13" s="108"/>
      <c r="L13" s="108"/>
      <c r="M13" s="108"/>
      <c r="N13" s="108"/>
      <c r="O13" s="108"/>
      <c r="P13" s="108"/>
      <c r="Q13" s="108"/>
      <c r="R13" s="108"/>
      <c r="S13" s="108"/>
      <c r="T13" s="72">
        <f>T9</f>
        <v>84</v>
      </c>
      <c r="U13" s="72">
        <f>T13*G13</f>
        <v>9112.32</v>
      </c>
      <c r="V13" s="9"/>
      <c r="W13" s="106">
        <f>I13-K13-M13-O13-Q13-S13-U13</f>
        <v>0</v>
      </c>
    </row>
    <row r="14" spans="2:23" ht="264.75">
      <c r="B14" s="101">
        <v>4</v>
      </c>
      <c r="C14" s="160" t="s">
        <v>124</v>
      </c>
      <c r="D14" s="139" t="s">
        <v>108</v>
      </c>
      <c r="E14" s="142" t="s">
        <v>111</v>
      </c>
      <c r="F14" s="140" t="s">
        <v>109</v>
      </c>
      <c r="G14" s="72">
        <f>ROUND(I14/H14,2)</f>
        <v>11.21</v>
      </c>
      <c r="H14" s="10">
        <f>H9</f>
        <v>264</v>
      </c>
      <c r="I14" s="105">
        <f>2960</f>
        <v>2960</v>
      </c>
      <c r="J14" s="14">
        <f>J9</f>
        <v>62</v>
      </c>
      <c r="K14" s="49">
        <f>G14*J14</f>
        <v>695.0200000000001</v>
      </c>
      <c r="L14" s="14">
        <f>L9</f>
        <v>18</v>
      </c>
      <c r="M14" s="49">
        <f>L14*G14</f>
        <v>201.78000000000003</v>
      </c>
      <c r="N14" s="14">
        <f>N9</f>
        <v>56</v>
      </c>
      <c r="O14" s="49">
        <f>N14*G14</f>
        <v>627.76</v>
      </c>
      <c r="P14" s="14">
        <f>P9</f>
        <v>32</v>
      </c>
      <c r="Q14" s="49">
        <f>P14*G14</f>
        <v>358.72</v>
      </c>
      <c r="R14" s="14">
        <f>R9</f>
        <v>12</v>
      </c>
      <c r="S14" s="49">
        <f>R14*G14</f>
        <v>134.52</v>
      </c>
      <c r="T14" s="14">
        <f>T9</f>
        <v>84</v>
      </c>
      <c r="U14" s="49">
        <f>T14*G14</f>
        <v>941.6400000000001</v>
      </c>
      <c r="V14" s="9"/>
      <c r="W14" s="106">
        <f aca="true" t="shared" si="0" ref="W14:W27">I14-K14-M14-O14-Q14-S14-U14</f>
        <v>0.5599999999997181</v>
      </c>
    </row>
    <row r="15" spans="2:23" ht="342" customHeight="1">
      <c r="B15" s="102"/>
      <c r="C15" s="161"/>
      <c r="D15" s="147"/>
      <c r="E15" s="142" t="s">
        <v>138</v>
      </c>
      <c r="F15" s="140" t="s">
        <v>110</v>
      </c>
      <c r="G15" s="72">
        <f>I15/H15</f>
        <v>82</v>
      </c>
      <c r="H15" s="10">
        <f aca="true" t="shared" si="1" ref="H15:H27">J15+L15+N15+P15+R15+T15</f>
        <v>80</v>
      </c>
      <c r="I15" s="105">
        <f>25*200+1*300+1260</f>
        <v>6560</v>
      </c>
      <c r="J15" s="14">
        <f>J$9</f>
        <v>62</v>
      </c>
      <c r="K15" s="49">
        <f>J15*G15</f>
        <v>5084</v>
      </c>
      <c r="L15" s="14">
        <f>L9</f>
        <v>18</v>
      </c>
      <c r="M15" s="49">
        <f>L15*G15</f>
        <v>1476</v>
      </c>
      <c r="N15" s="108"/>
      <c r="O15" s="109"/>
      <c r="P15" s="108"/>
      <c r="Q15" s="109"/>
      <c r="R15" s="108"/>
      <c r="S15" s="109"/>
      <c r="T15" s="108"/>
      <c r="U15" s="109"/>
      <c r="V15" s="9"/>
      <c r="W15" s="106">
        <f t="shared" si="0"/>
        <v>0</v>
      </c>
    </row>
    <row r="16" spans="2:23" ht="169.5" customHeight="1">
      <c r="B16" s="92">
        <v>5</v>
      </c>
      <c r="C16" s="149" t="s">
        <v>114</v>
      </c>
      <c r="D16" s="148" t="s">
        <v>115</v>
      </c>
      <c r="E16" s="140" t="s">
        <v>116</v>
      </c>
      <c r="F16" s="95"/>
      <c r="G16" s="72">
        <f aca="true" t="shared" si="2" ref="G16:G23">ROUND(I16/H16,2)</f>
        <v>29.11</v>
      </c>
      <c r="H16" s="10">
        <f t="shared" si="1"/>
        <v>264</v>
      </c>
      <c r="I16" s="105">
        <f>640.33*12</f>
        <v>7683.960000000001</v>
      </c>
      <c r="J16" s="14">
        <f>J$9</f>
        <v>62</v>
      </c>
      <c r="K16" s="14">
        <f>J16*$G$16</f>
        <v>1804.82</v>
      </c>
      <c r="L16" s="14">
        <f>L$9</f>
        <v>18</v>
      </c>
      <c r="M16" s="14">
        <f>L16*$G$16</f>
        <v>523.98</v>
      </c>
      <c r="N16" s="14">
        <f>N$9</f>
        <v>56</v>
      </c>
      <c r="O16" s="14">
        <f>N16*$G$16</f>
        <v>1630.1599999999999</v>
      </c>
      <c r="P16" s="14">
        <f>P$9</f>
        <v>32</v>
      </c>
      <c r="Q16" s="14">
        <f>P16*$G$16</f>
        <v>931.52</v>
      </c>
      <c r="R16" s="14">
        <f>R$9</f>
        <v>12</v>
      </c>
      <c r="S16" s="14">
        <f>R16*$G$16</f>
        <v>349.32</v>
      </c>
      <c r="T16" s="14">
        <f>T$9</f>
        <v>84</v>
      </c>
      <c r="U16" s="14">
        <f>T16*$G$16</f>
        <v>2445.24</v>
      </c>
      <c r="V16" s="9"/>
      <c r="W16" s="106">
        <f t="shared" si="0"/>
        <v>-1.0799999999981083</v>
      </c>
    </row>
    <row r="17" spans="2:23" ht="163.5" customHeight="1">
      <c r="B17" s="98">
        <v>6</v>
      </c>
      <c r="C17" s="150" t="s">
        <v>10</v>
      </c>
      <c r="D17" s="140" t="s">
        <v>118</v>
      </c>
      <c r="E17" s="140" t="s">
        <v>119</v>
      </c>
      <c r="F17" s="140" t="s">
        <v>117</v>
      </c>
      <c r="G17" s="110">
        <f t="shared" si="2"/>
        <v>2.8</v>
      </c>
      <c r="H17" s="10">
        <f t="shared" si="1"/>
        <v>264</v>
      </c>
      <c r="I17" s="105">
        <f>(14.5*3+6.05*3)*12</f>
        <v>739.8</v>
      </c>
      <c r="J17" s="14">
        <f>J$9</f>
        <v>62</v>
      </c>
      <c r="K17" s="14">
        <f>J17*$G17</f>
        <v>173.6</v>
      </c>
      <c r="L17" s="14">
        <f>L$9</f>
        <v>18</v>
      </c>
      <c r="M17" s="14">
        <f>L17*$G17</f>
        <v>50.4</v>
      </c>
      <c r="N17" s="14">
        <f>N$9</f>
        <v>56</v>
      </c>
      <c r="O17" s="14">
        <f>N17*$G17</f>
        <v>156.79999999999998</v>
      </c>
      <c r="P17" s="14">
        <f>P$9</f>
        <v>32</v>
      </c>
      <c r="Q17" s="14">
        <f>P17*$G17</f>
        <v>89.6</v>
      </c>
      <c r="R17" s="14">
        <f>R$9</f>
        <v>12</v>
      </c>
      <c r="S17" s="14">
        <f>R17*$G17</f>
        <v>33.599999999999994</v>
      </c>
      <c r="T17" s="14">
        <f>T$9</f>
        <v>84</v>
      </c>
      <c r="U17" s="14">
        <f>T17*$G17</f>
        <v>235.2</v>
      </c>
      <c r="V17" s="9"/>
      <c r="W17" s="106">
        <f t="shared" si="0"/>
        <v>0.5999999999999943</v>
      </c>
    </row>
    <row r="18" spans="2:23" ht="113.25" customHeight="1">
      <c r="B18" s="98">
        <v>7</v>
      </c>
      <c r="C18" s="150" t="s">
        <v>120</v>
      </c>
      <c r="D18" s="140" t="s">
        <v>121</v>
      </c>
      <c r="E18" s="140" t="s">
        <v>122</v>
      </c>
      <c r="F18" s="140" t="s">
        <v>125</v>
      </c>
      <c r="G18" s="72">
        <f t="shared" si="2"/>
        <v>7.04</v>
      </c>
      <c r="H18" s="10">
        <f t="shared" si="1"/>
        <v>264</v>
      </c>
      <c r="I18" s="105">
        <f>(271.9+585+72)*2</f>
        <v>1857.8</v>
      </c>
      <c r="J18" s="14">
        <f>J$9</f>
        <v>62</v>
      </c>
      <c r="K18" s="14">
        <f>J18*$G18</f>
        <v>436.48</v>
      </c>
      <c r="L18" s="14">
        <f>L$9</f>
        <v>18</v>
      </c>
      <c r="M18" s="14">
        <f>L18*$G18</f>
        <v>126.72</v>
      </c>
      <c r="N18" s="14">
        <f>N$9</f>
        <v>56</v>
      </c>
      <c r="O18" s="14">
        <f>N18*$G18</f>
        <v>394.24</v>
      </c>
      <c r="P18" s="14">
        <f>P$9</f>
        <v>32</v>
      </c>
      <c r="Q18" s="14">
        <f>P18*$G18</f>
        <v>225.28</v>
      </c>
      <c r="R18" s="14">
        <f>R$9</f>
        <v>12</v>
      </c>
      <c r="S18" s="14">
        <f>R18*$G18</f>
        <v>84.48</v>
      </c>
      <c r="T18" s="14">
        <f>T$9</f>
        <v>84</v>
      </c>
      <c r="U18" s="14">
        <f>T18*$G18</f>
        <v>591.36</v>
      </c>
      <c r="V18" s="9"/>
      <c r="W18" s="106">
        <f t="shared" si="0"/>
        <v>-0.7600000000001046</v>
      </c>
    </row>
    <row r="19" spans="2:23" ht="236.25" customHeight="1">
      <c r="B19" s="98">
        <v>8</v>
      </c>
      <c r="C19" s="150" t="s">
        <v>126</v>
      </c>
      <c r="D19" s="140" t="s">
        <v>128</v>
      </c>
      <c r="E19" s="140" t="s">
        <v>129</v>
      </c>
      <c r="F19" s="140" t="s">
        <v>127</v>
      </c>
      <c r="G19" s="72">
        <f t="shared" si="2"/>
        <v>37.17</v>
      </c>
      <c r="H19" s="10">
        <f t="shared" si="1"/>
        <v>80</v>
      </c>
      <c r="I19" s="105">
        <v>2973.8</v>
      </c>
      <c r="J19" s="14">
        <f>J$9</f>
        <v>62</v>
      </c>
      <c r="K19" s="14">
        <f>J19*$G19</f>
        <v>2304.54</v>
      </c>
      <c r="L19" s="14">
        <f>L$9</f>
        <v>18</v>
      </c>
      <c r="M19" s="14">
        <f>L19*$G19</f>
        <v>669.0600000000001</v>
      </c>
      <c r="N19" s="108"/>
      <c r="O19" s="108"/>
      <c r="P19" s="108"/>
      <c r="Q19" s="108"/>
      <c r="R19" s="108"/>
      <c r="S19" s="108"/>
      <c r="T19" s="108"/>
      <c r="U19" s="109"/>
      <c r="V19" s="9"/>
      <c r="W19" s="106">
        <f t="shared" si="0"/>
        <v>0.20000000000015916</v>
      </c>
    </row>
    <row r="20" spans="2:23" ht="249" customHeight="1">
      <c r="B20" s="98">
        <v>9</v>
      </c>
      <c r="C20" s="151" t="s">
        <v>132</v>
      </c>
      <c r="D20" s="140" t="s">
        <v>133</v>
      </c>
      <c r="E20" s="140" t="s">
        <v>134</v>
      </c>
      <c r="F20" s="140" t="s">
        <v>136</v>
      </c>
      <c r="G20" s="72">
        <f t="shared" si="2"/>
        <v>60.14</v>
      </c>
      <c r="H20" s="10">
        <f t="shared" si="1"/>
        <v>84</v>
      </c>
      <c r="I20" s="72">
        <f>6*17*26+6*25*16</f>
        <v>5052</v>
      </c>
      <c r="J20" s="108"/>
      <c r="K20" s="108"/>
      <c r="L20" s="108"/>
      <c r="M20" s="108"/>
      <c r="N20" s="108"/>
      <c r="O20" s="108"/>
      <c r="P20" s="108"/>
      <c r="Q20" s="108"/>
      <c r="R20" s="108"/>
      <c r="S20" s="108"/>
      <c r="T20" s="14">
        <f>T9</f>
        <v>84</v>
      </c>
      <c r="U20" s="14">
        <f>T20*G20</f>
        <v>5051.76</v>
      </c>
      <c r="V20" s="9"/>
      <c r="W20" s="106">
        <f t="shared" si="0"/>
        <v>0.23999999999978172</v>
      </c>
    </row>
    <row r="21" spans="2:23" ht="186.75" customHeight="1">
      <c r="B21" s="98">
        <v>10</v>
      </c>
      <c r="C21" s="150"/>
      <c r="D21" s="95"/>
      <c r="E21" s="140" t="s">
        <v>137</v>
      </c>
      <c r="F21" s="140" t="s">
        <v>135</v>
      </c>
      <c r="G21" s="107">
        <f t="shared" si="2"/>
        <v>45.05</v>
      </c>
      <c r="H21" s="10">
        <f t="shared" si="1"/>
        <v>62</v>
      </c>
      <c r="I21" s="72">
        <v>2793</v>
      </c>
      <c r="J21" s="14">
        <f>J$9</f>
        <v>62</v>
      </c>
      <c r="K21" s="14">
        <f>J21*$G21</f>
        <v>2793.1</v>
      </c>
      <c r="L21" s="108"/>
      <c r="M21" s="108"/>
      <c r="N21" s="108"/>
      <c r="O21" s="108"/>
      <c r="P21" s="108"/>
      <c r="Q21" s="108"/>
      <c r="R21" s="108"/>
      <c r="S21" s="108"/>
      <c r="T21" s="108"/>
      <c r="U21" s="108"/>
      <c r="V21" s="9"/>
      <c r="W21" s="106">
        <f t="shared" si="0"/>
        <v>-0.09999999999990905</v>
      </c>
    </row>
    <row r="22" spans="2:23" ht="172.5" customHeight="1">
      <c r="B22" s="98">
        <v>11</v>
      </c>
      <c r="C22" s="151" t="s">
        <v>146</v>
      </c>
      <c r="D22" s="140" t="s">
        <v>148</v>
      </c>
      <c r="E22" s="140" t="s">
        <v>150</v>
      </c>
      <c r="F22" s="140" t="s">
        <v>149</v>
      </c>
      <c r="G22" s="107">
        <f t="shared" si="2"/>
        <v>25.74</v>
      </c>
      <c r="H22" s="10">
        <f t="shared" si="1"/>
        <v>62</v>
      </c>
      <c r="I22" s="72">
        <v>1596</v>
      </c>
      <c r="J22" s="14">
        <f>J$9</f>
        <v>62</v>
      </c>
      <c r="K22" s="14">
        <f>J22*$G22</f>
        <v>1595.8799999999999</v>
      </c>
      <c r="L22" s="108"/>
      <c r="M22" s="108"/>
      <c r="N22" s="108"/>
      <c r="O22" s="108"/>
      <c r="P22" s="108"/>
      <c r="Q22" s="108"/>
      <c r="R22" s="108"/>
      <c r="S22" s="108"/>
      <c r="T22" s="108"/>
      <c r="U22" s="108"/>
      <c r="V22" s="9"/>
      <c r="W22" s="106">
        <f t="shared" si="0"/>
        <v>0.12000000000011823</v>
      </c>
    </row>
    <row r="23" spans="2:23" ht="231" customHeight="1">
      <c r="B23" s="98">
        <v>12</v>
      </c>
      <c r="C23" s="150" t="s">
        <v>147</v>
      </c>
      <c r="D23" s="140" t="s">
        <v>144</v>
      </c>
      <c r="E23" s="140" t="s">
        <v>151</v>
      </c>
      <c r="F23" s="140" t="s">
        <v>145</v>
      </c>
      <c r="G23" s="107">
        <f t="shared" si="2"/>
        <v>9.52</v>
      </c>
      <c r="H23" s="10">
        <f t="shared" si="1"/>
        <v>84</v>
      </c>
      <c r="I23" s="72">
        <v>800</v>
      </c>
      <c r="J23" s="108"/>
      <c r="K23" s="108"/>
      <c r="L23" s="108"/>
      <c r="M23" s="108"/>
      <c r="N23" s="108"/>
      <c r="O23" s="108"/>
      <c r="P23" s="108"/>
      <c r="Q23" s="108"/>
      <c r="R23" s="108"/>
      <c r="S23" s="108"/>
      <c r="T23" s="14">
        <f>$T$9</f>
        <v>84</v>
      </c>
      <c r="U23" s="14">
        <f>T23*G23</f>
        <v>799.68</v>
      </c>
      <c r="V23" s="9"/>
      <c r="W23" s="106">
        <f t="shared" si="0"/>
        <v>0.32000000000005</v>
      </c>
    </row>
    <row r="24" spans="2:23" ht="231" customHeight="1">
      <c r="B24" s="98">
        <v>13</v>
      </c>
      <c r="C24" s="150" t="s">
        <v>153</v>
      </c>
      <c r="D24" s="140" t="s">
        <v>152</v>
      </c>
      <c r="E24" s="140" t="s">
        <v>160</v>
      </c>
      <c r="F24" s="140" t="s">
        <v>159</v>
      </c>
      <c r="G24" s="107">
        <v>12.5</v>
      </c>
      <c r="H24" s="10">
        <f t="shared" si="1"/>
        <v>62</v>
      </c>
      <c r="I24" s="10">
        <f>G24*H24</f>
        <v>775</v>
      </c>
      <c r="J24" s="10">
        <f>J9</f>
        <v>62</v>
      </c>
      <c r="K24" s="10">
        <f>G24*J24</f>
        <v>775</v>
      </c>
      <c r="L24" s="114"/>
      <c r="M24" s="114"/>
      <c r="N24" s="114"/>
      <c r="O24" s="114"/>
      <c r="P24" s="114"/>
      <c r="Q24" s="114"/>
      <c r="R24" s="114"/>
      <c r="S24" s="114"/>
      <c r="T24" s="114"/>
      <c r="U24" s="114"/>
      <c r="V24" s="9"/>
      <c r="W24" s="106">
        <f t="shared" si="0"/>
        <v>0</v>
      </c>
    </row>
    <row r="25" spans="2:23" ht="141.75" customHeight="1">
      <c r="B25" s="99">
        <v>14</v>
      </c>
      <c r="C25" s="152" t="s">
        <v>154</v>
      </c>
      <c r="D25" s="139" t="s">
        <v>158</v>
      </c>
      <c r="E25" s="140" t="s">
        <v>161</v>
      </c>
      <c r="F25" s="140" t="s">
        <v>162</v>
      </c>
      <c r="G25" s="107">
        <v>38.5</v>
      </c>
      <c r="H25" s="10">
        <f t="shared" si="1"/>
        <v>128</v>
      </c>
      <c r="I25" s="10">
        <f>G25*H25</f>
        <v>4928</v>
      </c>
      <c r="J25" s="108"/>
      <c r="K25" s="108"/>
      <c r="L25" s="108"/>
      <c r="M25" s="108"/>
      <c r="N25" s="108"/>
      <c r="O25" s="108"/>
      <c r="P25" s="14">
        <f>P9</f>
        <v>32</v>
      </c>
      <c r="Q25" s="14">
        <f>P25*G25</f>
        <v>1232</v>
      </c>
      <c r="R25" s="14">
        <f>R9</f>
        <v>12</v>
      </c>
      <c r="S25" s="14">
        <f>R25*G25</f>
        <v>462</v>
      </c>
      <c r="T25" s="14">
        <f>T9</f>
        <v>84</v>
      </c>
      <c r="U25" s="14">
        <f>T25*G25</f>
        <v>3234</v>
      </c>
      <c r="V25" s="9"/>
      <c r="W25" s="106">
        <f t="shared" si="0"/>
        <v>0</v>
      </c>
    </row>
    <row r="26" spans="2:23" ht="141.75" customHeight="1">
      <c r="B26" s="99">
        <v>15</v>
      </c>
      <c r="C26" s="153" t="s">
        <v>60</v>
      </c>
      <c r="D26" s="141" t="s">
        <v>163</v>
      </c>
      <c r="E26" s="142"/>
      <c r="F26" s="140" t="s">
        <v>164</v>
      </c>
      <c r="G26" s="107">
        <v>95</v>
      </c>
      <c r="H26" s="10">
        <f t="shared" si="1"/>
        <v>84</v>
      </c>
      <c r="I26" s="10">
        <f>G26*H26</f>
        <v>7980</v>
      </c>
      <c r="J26" s="108"/>
      <c r="K26" s="108"/>
      <c r="L26" s="108"/>
      <c r="M26" s="108"/>
      <c r="N26" s="108"/>
      <c r="O26" s="108"/>
      <c r="P26" s="108"/>
      <c r="Q26" s="108"/>
      <c r="R26" s="108"/>
      <c r="S26" s="108"/>
      <c r="T26" s="14">
        <f>T9</f>
        <v>84</v>
      </c>
      <c r="U26" s="14">
        <f>G26*T26</f>
        <v>7980</v>
      </c>
      <c r="V26" s="9"/>
      <c r="W26" s="106">
        <f t="shared" si="0"/>
        <v>0</v>
      </c>
    </row>
    <row r="27" spans="2:23" ht="141.75" customHeight="1">
      <c r="B27" s="92"/>
      <c r="C27" s="154"/>
      <c r="D27" s="143"/>
      <c r="E27" s="142"/>
      <c r="F27" s="140" t="s">
        <v>165</v>
      </c>
      <c r="G27" s="107">
        <v>50</v>
      </c>
      <c r="H27" s="10">
        <f t="shared" si="1"/>
        <v>44</v>
      </c>
      <c r="I27" s="10">
        <f>G27*H27</f>
        <v>2200</v>
      </c>
      <c r="J27" s="108"/>
      <c r="K27" s="108"/>
      <c r="L27" s="108"/>
      <c r="M27" s="108"/>
      <c r="N27" s="108"/>
      <c r="O27" s="108"/>
      <c r="P27" s="14">
        <f>P9</f>
        <v>32</v>
      </c>
      <c r="Q27" s="14">
        <f>G27*P27</f>
        <v>1600</v>
      </c>
      <c r="R27" s="14">
        <f>R9</f>
        <v>12</v>
      </c>
      <c r="S27" s="14">
        <f>R27*G27</f>
        <v>600</v>
      </c>
      <c r="T27" s="108"/>
      <c r="U27" s="108"/>
      <c r="V27" s="9"/>
      <c r="W27" s="106">
        <f t="shared" si="0"/>
        <v>0</v>
      </c>
    </row>
    <row r="28" spans="6:23" ht="18.75" customHeight="1">
      <c r="F28" s="12" t="s">
        <v>107</v>
      </c>
      <c r="G28" s="111" t="s">
        <v>106</v>
      </c>
      <c r="H28" s="10" t="s">
        <v>106</v>
      </c>
      <c r="I28" s="112">
        <f>SUM(I10:I27)</f>
        <v>82240.24</v>
      </c>
      <c r="J28" s="206">
        <f>SUM(K10:K27)</f>
        <v>23517.84</v>
      </c>
      <c r="K28" s="207"/>
      <c r="L28" s="206">
        <f>SUM(M10:M27)</f>
        <v>4352.22</v>
      </c>
      <c r="M28" s="207"/>
      <c r="N28" s="206">
        <f>SUM(O10:O27)</f>
        <v>6866.719999999999</v>
      </c>
      <c r="O28" s="207"/>
      <c r="P28" s="206">
        <f>SUM(Q10:Q27)</f>
        <v>8491.52</v>
      </c>
      <c r="Q28" s="207"/>
      <c r="R28" s="206">
        <f>SUM(S10:S27)</f>
        <v>2533.4399999999996</v>
      </c>
      <c r="S28" s="207"/>
      <c r="T28" s="206">
        <f>SUM(U10:U27)</f>
        <v>36477.84</v>
      </c>
      <c r="U28" s="207"/>
      <c r="V28" s="9"/>
      <c r="W28" s="113">
        <f>I28-J28-L28-N28-P28-R28-T28</f>
        <v>0.6600000000034925</v>
      </c>
    </row>
  </sheetData>
  <sheetProtection/>
  <mergeCells count="24">
    <mergeCell ref="B7:B8"/>
    <mergeCell ref="C7:C8"/>
    <mergeCell ref="D7:D8"/>
    <mergeCell ref="E7:E8"/>
    <mergeCell ref="F7:F8"/>
    <mergeCell ref="R7:S7"/>
    <mergeCell ref="P7:Q7"/>
    <mergeCell ref="T7:U7"/>
    <mergeCell ref="G7:G8"/>
    <mergeCell ref="H7:H8"/>
    <mergeCell ref="I7:I8"/>
    <mergeCell ref="J7:K7"/>
    <mergeCell ref="L7:M7"/>
    <mergeCell ref="N7:O7"/>
    <mergeCell ref="W7:W8"/>
    <mergeCell ref="R28:S28"/>
    <mergeCell ref="T28:U28"/>
    <mergeCell ref="B12:B13"/>
    <mergeCell ref="C12:C13"/>
    <mergeCell ref="B5:W5"/>
    <mergeCell ref="J28:K28"/>
    <mergeCell ref="L28:M28"/>
    <mergeCell ref="N28:O28"/>
    <mergeCell ref="P28:Q28"/>
  </mergeCells>
  <printOptions/>
  <pageMargins left="0.7" right="0.7" top="0.75" bottom="0.75" header="0.3" footer="0.3"/>
  <pageSetup fitToHeight="0"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B2:O14"/>
  <sheetViews>
    <sheetView showGridLines="0" tabSelected="1" zoomScale="90" zoomScaleNormal="90" zoomScalePageLayoutView="0" workbookViewId="0" topLeftCell="A1">
      <selection activeCell="L8" sqref="L8"/>
    </sheetView>
  </sheetViews>
  <sheetFormatPr defaultColWidth="9.140625" defaultRowHeight="15"/>
  <cols>
    <col min="2" max="2" width="24.421875" style="0" customWidth="1"/>
    <col min="3" max="3" width="13.57421875" style="4" customWidth="1"/>
    <col min="4" max="4" width="16.00390625" style="4" customWidth="1"/>
    <col min="5" max="5" width="15.57421875" style="0" customWidth="1"/>
    <col min="6" max="6" width="10.8515625" style="0" customWidth="1"/>
    <col min="7" max="7" width="12.00390625" style="0" customWidth="1"/>
    <col min="8" max="8" width="49.140625" style="0" customWidth="1"/>
    <col min="9" max="9" width="40.421875" style="0" customWidth="1"/>
  </cols>
  <sheetData>
    <row r="2" spans="5:11" ht="15">
      <c r="E2" s="9"/>
      <c r="F2" s="9"/>
      <c r="G2" s="9"/>
      <c r="H2" s="176" t="s">
        <v>192</v>
      </c>
      <c r="I2" s="176"/>
      <c r="J2" s="9"/>
      <c r="K2" s="9"/>
    </row>
    <row r="3" spans="5:13" ht="15">
      <c r="E3" s="9"/>
      <c r="F3" s="9"/>
      <c r="G3" s="9"/>
      <c r="H3" s="9"/>
      <c r="I3" s="9"/>
      <c r="J3" s="9"/>
      <c r="K3" s="9"/>
      <c r="L3" s="9"/>
      <c r="M3" s="9"/>
    </row>
    <row r="4" spans="2:13" ht="15" customHeight="1">
      <c r="B4" s="177" t="s">
        <v>202</v>
      </c>
      <c r="C4" s="177"/>
      <c r="D4" s="177"/>
      <c r="E4" s="177"/>
      <c r="F4" s="177"/>
      <c r="G4" s="177"/>
      <c r="H4" s="177"/>
      <c r="I4" s="177"/>
      <c r="J4" s="13"/>
      <c r="K4" s="13"/>
      <c r="L4" s="13"/>
      <c r="M4" s="9"/>
    </row>
    <row r="5" spans="5:13" ht="15">
      <c r="E5" s="9"/>
      <c r="F5" s="9"/>
      <c r="G5" s="9"/>
      <c r="H5" s="9"/>
      <c r="I5" s="9"/>
      <c r="J5" s="9"/>
      <c r="K5" s="9"/>
      <c r="L5" s="9"/>
      <c r="M5" s="9"/>
    </row>
    <row r="6" spans="2:9" s="4" customFormat="1" ht="48.75" customHeight="1">
      <c r="B6" s="210" t="s">
        <v>6</v>
      </c>
      <c r="C6" s="211" t="s">
        <v>29</v>
      </c>
      <c r="D6" s="211" t="s">
        <v>30</v>
      </c>
      <c r="E6" s="211" t="s">
        <v>22</v>
      </c>
      <c r="F6" s="211" t="s">
        <v>23</v>
      </c>
      <c r="G6" s="211" t="s">
        <v>8</v>
      </c>
      <c r="H6" s="210" t="s">
        <v>5</v>
      </c>
      <c r="I6" s="210" t="s">
        <v>12</v>
      </c>
    </row>
    <row r="7" spans="2:9" ht="14.25">
      <c r="B7" s="210"/>
      <c r="C7" s="212"/>
      <c r="D7" s="212"/>
      <c r="E7" s="213"/>
      <c r="F7" s="213"/>
      <c r="G7" s="212"/>
      <c r="H7" s="210"/>
      <c r="I7" s="210"/>
    </row>
    <row r="8" spans="2:9" ht="132" customHeight="1">
      <c r="B8" s="156" t="s">
        <v>25</v>
      </c>
      <c r="C8" s="40">
        <f>E8/D8</f>
        <v>208.75</v>
      </c>
      <c r="D8" s="41">
        <v>16</v>
      </c>
      <c r="E8" s="42">
        <v>3340</v>
      </c>
      <c r="F8" s="42">
        <v>1</v>
      </c>
      <c r="G8" s="42">
        <f>E8*F8</f>
        <v>3340</v>
      </c>
      <c r="H8" s="16" t="s">
        <v>171</v>
      </c>
      <c r="I8" s="36" t="s">
        <v>27</v>
      </c>
    </row>
    <row r="9" spans="2:9" s="4" customFormat="1" ht="130.5" customHeight="1">
      <c r="B9" s="157" t="s">
        <v>47</v>
      </c>
      <c r="C9" s="40">
        <f>E9/D9</f>
        <v>33.9875</v>
      </c>
      <c r="D9" s="43">
        <v>16</v>
      </c>
      <c r="E9" s="42">
        <f>271.9*2</f>
        <v>543.8</v>
      </c>
      <c r="F9" s="42">
        <v>1</v>
      </c>
      <c r="G9" s="42">
        <f>E9*F9</f>
        <v>543.8</v>
      </c>
      <c r="H9" s="16" t="s">
        <v>168</v>
      </c>
      <c r="I9" s="36"/>
    </row>
    <row r="10" spans="2:9" ht="202.5">
      <c r="B10" s="158" t="s">
        <v>11</v>
      </c>
      <c r="C10" s="40">
        <f>E10/D10</f>
        <v>27</v>
      </c>
      <c r="D10" s="44">
        <v>16</v>
      </c>
      <c r="E10" s="45">
        <v>432</v>
      </c>
      <c r="F10" s="42">
        <v>1</v>
      </c>
      <c r="G10" s="42">
        <f>E10*F10</f>
        <v>432</v>
      </c>
      <c r="H10" s="17" t="s">
        <v>167</v>
      </c>
      <c r="I10" s="15" t="s">
        <v>24</v>
      </c>
    </row>
    <row r="11" spans="2:9" s="4" customFormat="1" ht="221.25" customHeight="1">
      <c r="B11" s="156" t="s">
        <v>48</v>
      </c>
      <c r="C11" s="40">
        <f>E11/D11</f>
        <v>150</v>
      </c>
      <c r="D11" s="41">
        <v>16</v>
      </c>
      <c r="E11" s="42">
        <v>2400</v>
      </c>
      <c r="F11" s="42">
        <v>1</v>
      </c>
      <c r="G11" s="42">
        <f>E11*F11</f>
        <v>2400</v>
      </c>
      <c r="H11" s="17" t="s">
        <v>169</v>
      </c>
      <c r="I11" s="17" t="s">
        <v>49</v>
      </c>
    </row>
    <row r="12" spans="2:9" s="4" customFormat="1" ht="176.25" customHeight="1">
      <c r="B12" s="156" t="s">
        <v>33</v>
      </c>
      <c r="C12" s="26">
        <f>E12/D12</f>
        <v>8</v>
      </c>
      <c r="D12" s="27">
        <v>16</v>
      </c>
      <c r="E12" s="28">
        <v>128</v>
      </c>
      <c r="F12" s="29">
        <v>1</v>
      </c>
      <c r="G12" s="29">
        <f>C12*D12</f>
        <v>128</v>
      </c>
      <c r="H12" s="17" t="s">
        <v>170</v>
      </c>
      <c r="I12" s="16" t="s">
        <v>32</v>
      </c>
    </row>
    <row r="13" spans="2:9" s="4" customFormat="1" ht="15">
      <c r="B13" s="19" t="s">
        <v>28</v>
      </c>
      <c r="C13" s="21">
        <f>SUM(C8:C12)</f>
        <v>427.7375</v>
      </c>
      <c r="D13" s="19">
        <v>16</v>
      </c>
      <c r="E13" s="11"/>
      <c r="F13" s="11"/>
      <c r="G13" s="18">
        <f>SUM(G8:G12)</f>
        <v>6843.8</v>
      </c>
      <c r="H13" s="11"/>
      <c r="I13" s="24"/>
    </row>
    <row r="14" spans="2:15" s="4" customFormat="1" ht="14.25" customHeight="1">
      <c r="B14" s="13"/>
      <c r="C14" s="13"/>
      <c r="D14" s="13"/>
      <c r="E14" s="13"/>
      <c r="F14" s="13"/>
      <c r="G14" s="13"/>
      <c r="H14" s="13"/>
      <c r="I14" s="13"/>
      <c r="J14" s="13"/>
      <c r="K14" s="13"/>
      <c r="L14" s="13"/>
      <c r="M14" s="13"/>
      <c r="N14" s="13"/>
      <c r="O14" s="9"/>
    </row>
  </sheetData>
  <sheetProtection/>
  <mergeCells count="10">
    <mergeCell ref="H6:H7"/>
    <mergeCell ref="C6:C7"/>
    <mergeCell ref="D6:D7"/>
    <mergeCell ref="I6:I7"/>
    <mergeCell ref="H2:I2"/>
    <mergeCell ref="B4:I4"/>
    <mergeCell ref="E6:E7"/>
    <mergeCell ref="F6:F7"/>
    <mergeCell ref="G6:G7"/>
    <mergeCell ref="B6:B7"/>
  </mergeCells>
  <printOptions/>
  <pageMargins left="0.7" right="0.7" top="0.75" bottom="0.75" header="0.3" footer="0.3"/>
  <pageSetup fitToHeight="0"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B2:P15"/>
  <sheetViews>
    <sheetView showGridLines="0" zoomScale="75" zoomScaleNormal="75" zoomScalePageLayoutView="0" workbookViewId="0" topLeftCell="A1">
      <selection activeCell="G13" sqref="G13"/>
    </sheetView>
  </sheetViews>
  <sheetFormatPr defaultColWidth="9.140625" defaultRowHeight="15"/>
  <cols>
    <col min="1" max="1" width="8.8515625" style="4" customWidth="1"/>
    <col min="2" max="2" width="29.00390625" style="4" customWidth="1"/>
    <col min="3" max="3" width="13.57421875" style="4" customWidth="1"/>
    <col min="4" max="4" width="16.00390625" style="4" customWidth="1"/>
    <col min="5" max="5" width="15.57421875" style="4" customWidth="1"/>
    <col min="6" max="6" width="10.8515625" style="4" customWidth="1"/>
    <col min="7" max="7" width="12.00390625" style="4" customWidth="1"/>
    <col min="8" max="8" width="49.140625" style="4" customWidth="1"/>
    <col min="9" max="9" width="40.421875" style="4" customWidth="1"/>
    <col min="10" max="16384" width="8.8515625" style="4" customWidth="1"/>
  </cols>
  <sheetData>
    <row r="2" spans="5:11" ht="15">
      <c r="E2" s="9"/>
      <c r="F2" s="9"/>
      <c r="G2" s="9"/>
      <c r="H2" s="176" t="s">
        <v>196</v>
      </c>
      <c r="I2" s="176"/>
      <c r="J2" s="9"/>
      <c r="K2" s="9"/>
    </row>
    <row r="3" spans="5:13" ht="15">
      <c r="E3" s="9"/>
      <c r="F3" s="9"/>
      <c r="G3" s="9"/>
      <c r="H3" s="9"/>
      <c r="I3" s="9"/>
      <c r="J3" s="9"/>
      <c r="K3" s="9"/>
      <c r="L3" s="9"/>
      <c r="M3" s="9"/>
    </row>
    <row r="4" spans="2:13" ht="15" customHeight="1">
      <c r="B4" s="177" t="s">
        <v>203</v>
      </c>
      <c r="C4" s="177"/>
      <c r="D4" s="177"/>
      <c r="E4" s="177"/>
      <c r="F4" s="177"/>
      <c r="G4" s="177"/>
      <c r="H4" s="177"/>
      <c r="I4" s="177"/>
      <c r="J4" s="13"/>
      <c r="K4" s="13"/>
      <c r="L4" s="13"/>
      <c r="M4" s="9"/>
    </row>
    <row r="5" spans="5:13" ht="15">
      <c r="E5" s="9"/>
      <c r="F5" s="9"/>
      <c r="G5" s="9"/>
      <c r="H5" s="9"/>
      <c r="I5" s="9"/>
      <c r="J5" s="9"/>
      <c r="K5" s="9"/>
      <c r="L5" s="9"/>
      <c r="M5" s="9"/>
    </row>
    <row r="6" spans="2:9" ht="48.75" customHeight="1">
      <c r="B6" s="210" t="s">
        <v>6</v>
      </c>
      <c r="C6" s="211" t="s">
        <v>29</v>
      </c>
      <c r="D6" s="211" t="s">
        <v>31</v>
      </c>
      <c r="E6" s="211" t="s">
        <v>22</v>
      </c>
      <c r="F6" s="211" t="s">
        <v>23</v>
      </c>
      <c r="G6" s="211" t="s">
        <v>8</v>
      </c>
      <c r="H6" s="210" t="s">
        <v>5</v>
      </c>
      <c r="I6" s="210" t="s">
        <v>12</v>
      </c>
    </row>
    <row r="7" spans="2:9" ht="14.25">
      <c r="B7" s="210"/>
      <c r="C7" s="212"/>
      <c r="D7" s="212"/>
      <c r="E7" s="213"/>
      <c r="F7" s="212"/>
      <c r="G7" s="212"/>
      <c r="H7" s="210"/>
      <c r="I7" s="210"/>
    </row>
    <row r="8" spans="2:9" ht="165" customHeight="1">
      <c r="B8" s="159" t="s">
        <v>52</v>
      </c>
      <c r="C8" s="51">
        <f>G8/D8</f>
        <v>453.75</v>
      </c>
      <c r="D8" s="50">
        <v>8</v>
      </c>
      <c r="E8" s="52">
        <f>3750-120</f>
        <v>3630</v>
      </c>
      <c r="F8" s="53">
        <v>1</v>
      </c>
      <c r="G8" s="52">
        <f>E8*F8</f>
        <v>3630</v>
      </c>
      <c r="H8" s="54" t="s">
        <v>172</v>
      </c>
      <c r="I8" s="55" t="s">
        <v>26</v>
      </c>
    </row>
    <row r="9" spans="2:9" ht="84" customHeight="1">
      <c r="B9" s="159" t="s">
        <v>11</v>
      </c>
      <c r="C9" s="51">
        <f>G9/D9</f>
        <v>48</v>
      </c>
      <c r="D9" s="50">
        <v>8</v>
      </c>
      <c r="E9" s="52">
        <f>24*16</f>
        <v>384</v>
      </c>
      <c r="F9" s="53">
        <v>1</v>
      </c>
      <c r="G9" s="52">
        <f>24*16</f>
        <v>384</v>
      </c>
      <c r="H9" s="54" t="s">
        <v>50</v>
      </c>
      <c r="I9" s="55" t="s">
        <v>54</v>
      </c>
    </row>
    <row r="10" spans="2:9" ht="71.25" customHeight="1">
      <c r="B10" s="159" t="s">
        <v>53</v>
      </c>
      <c r="C10" s="51">
        <f>G10/D10</f>
        <v>250</v>
      </c>
      <c r="D10" s="50">
        <v>8</v>
      </c>
      <c r="E10" s="56">
        <v>2000</v>
      </c>
      <c r="F10" s="53">
        <v>1</v>
      </c>
      <c r="G10" s="53">
        <f>E10*F10</f>
        <v>2000</v>
      </c>
      <c r="H10" s="55" t="s">
        <v>55</v>
      </c>
      <c r="I10" s="55" t="s">
        <v>56</v>
      </c>
    </row>
    <row r="11" spans="2:9" ht="15">
      <c r="B11" s="57" t="s">
        <v>28</v>
      </c>
      <c r="C11" s="58">
        <f>G11/D11</f>
        <v>751.75</v>
      </c>
      <c r="D11" s="57">
        <v>8</v>
      </c>
      <c r="E11" s="59"/>
      <c r="F11" s="59"/>
      <c r="G11" s="60">
        <f>SUM(G8:G10)</f>
        <v>6014</v>
      </c>
      <c r="H11" s="59"/>
      <c r="I11" s="54"/>
    </row>
    <row r="12" spans="2:15" ht="14.25" customHeight="1">
      <c r="B12" s="61"/>
      <c r="C12" s="61"/>
      <c r="D12" s="61"/>
      <c r="E12" s="61"/>
      <c r="F12" s="61"/>
      <c r="G12" s="61"/>
      <c r="H12" s="61"/>
      <c r="I12" s="61"/>
      <c r="J12" s="13"/>
      <c r="K12" s="13"/>
      <c r="L12" s="13"/>
      <c r="M12" s="13"/>
      <c r="N12" s="13"/>
      <c r="O12" s="9"/>
    </row>
    <row r="13" spans="2:16" ht="15">
      <c r="B13" s="62"/>
      <c r="C13" s="62"/>
      <c r="D13" s="62"/>
      <c r="E13" s="62"/>
      <c r="F13" s="62"/>
      <c r="G13" s="62"/>
      <c r="H13" s="62"/>
      <c r="I13" s="62"/>
      <c r="J13" s="9"/>
      <c r="K13" s="9"/>
      <c r="L13" s="9"/>
      <c r="M13" s="9"/>
      <c r="N13" s="9"/>
      <c r="O13" s="9"/>
      <c r="P13" s="9"/>
    </row>
    <row r="15" ht="14.25">
      <c r="G15" s="20"/>
    </row>
  </sheetData>
  <sheetProtection/>
  <mergeCells count="10">
    <mergeCell ref="H2:I2"/>
    <mergeCell ref="B4:I4"/>
    <mergeCell ref="B6:B7"/>
    <mergeCell ref="C6:C7"/>
    <mergeCell ref="D6:D7"/>
    <mergeCell ref="E6:E7"/>
    <mergeCell ref="F6:F7"/>
    <mergeCell ref="G6:G7"/>
    <mergeCell ref="H6:H7"/>
    <mergeCell ref="I6:I7"/>
  </mergeCells>
  <printOptions/>
  <pageMargins left="0.25" right="0.25" top="0.75" bottom="0.75" header="0.3" footer="0.3"/>
  <pageSetup fitToHeight="0"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dimension ref="B1:H19"/>
  <sheetViews>
    <sheetView showGridLines="0" zoomScale="85" zoomScaleNormal="85" zoomScalePageLayoutView="0" workbookViewId="0" topLeftCell="A1">
      <selection activeCell="F2" sqref="F2"/>
    </sheetView>
  </sheetViews>
  <sheetFormatPr defaultColWidth="9.140625" defaultRowHeight="15"/>
  <cols>
    <col min="2" max="2" width="55.57421875" style="0" customWidth="1"/>
    <col min="3" max="3" width="12.7109375" style="4" customWidth="1"/>
    <col min="4" max="4" width="15.8515625" style="0" customWidth="1"/>
    <col min="5" max="5" width="13.7109375" style="0" customWidth="1"/>
    <col min="6" max="6" width="17.140625" style="0" customWidth="1"/>
    <col min="8" max="8" width="20.7109375" style="0" customWidth="1"/>
  </cols>
  <sheetData>
    <row r="1" spans="4:6" s="4" customFormat="1" ht="14.25">
      <c r="D1" s="216"/>
      <c r="E1" s="216"/>
      <c r="F1" s="216"/>
    </row>
    <row r="2" s="4" customFormat="1" ht="15">
      <c r="F2" s="25" t="s">
        <v>195</v>
      </c>
    </row>
    <row r="3" spans="2:7" s="4" customFormat="1" ht="26.25" customHeight="1">
      <c r="B3" s="177" t="s">
        <v>143</v>
      </c>
      <c r="C3" s="177"/>
      <c r="D3" s="177"/>
      <c r="E3" s="177"/>
      <c r="F3" s="177"/>
      <c r="G3" s="13"/>
    </row>
    <row r="4" spans="2:6" ht="65.25" customHeight="1">
      <c r="B4" s="120" t="s">
        <v>34</v>
      </c>
      <c r="C4" s="120" t="s">
        <v>21</v>
      </c>
      <c r="D4" s="121" t="s">
        <v>45</v>
      </c>
      <c r="E4" s="122" t="s">
        <v>9</v>
      </c>
      <c r="F4" s="122" t="s">
        <v>42</v>
      </c>
    </row>
    <row r="5" spans="2:6" ht="14.25" customHeight="1">
      <c r="B5" s="223" t="s">
        <v>46</v>
      </c>
      <c r="C5" s="224"/>
      <c r="D5" s="224"/>
      <c r="E5" s="224"/>
      <c r="F5" s="225"/>
    </row>
    <row r="6" spans="2:6" ht="18">
      <c r="B6" s="123" t="s">
        <v>173</v>
      </c>
      <c r="C6" s="219" t="s">
        <v>179</v>
      </c>
      <c r="D6" s="124">
        <f>'8.1. pielikums'!D30</f>
        <v>1058.805</v>
      </c>
      <c r="E6" s="125">
        <f>'8.2.pielikums'!J9</f>
        <v>62</v>
      </c>
      <c r="F6" s="126">
        <f aca="true" t="shared" si="0" ref="F6:F11">D6*E6</f>
        <v>65645.91</v>
      </c>
    </row>
    <row r="7" spans="2:6" s="4" customFormat="1" ht="18">
      <c r="B7" s="123" t="s">
        <v>174</v>
      </c>
      <c r="C7" s="219"/>
      <c r="D7" s="124">
        <f>'8.1. pielikums'!C30</f>
        <v>889.4490000000001</v>
      </c>
      <c r="E7" s="125">
        <f>'8.2.pielikums'!L9</f>
        <v>18</v>
      </c>
      <c r="F7" s="126">
        <f t="shared" si="0"/>
        <v>16010.082000000002</v>
      </c>
    </row>
    <row r="8" spans="2:6" s="4" customFormat="1" ht="18">
      <c r="B8" s="123" t="s">
        <v>175</v>
      </c>
      <c r="C8" s="219"/>
      <c r="D8" s="124">
        <f>'8.1. pielikums'!E30</f>
        <v>1059.19</v>
      </c>
      <c r="E8" s="125">
        <f>'8.2.pielikums'!N9</f>
        <v>56</v>
      </c>
      <c r="F8" s="126">
        <f t="shared" si="0"/>
        <v>59314.64</v>
      </c>
    </row>
    <row r="9" spans="2:6" s="4" customFormat="1" ht="18">
      <c r="B9" s="123" t="s">
        <v>177</v>
      </c>
      <c r="C9" s="219"/>
      <c r="D9" s="124">
        <f>'8.1. pielikums'!F30</f>
        <v>1752.806</v>
      </c>
      <c r="E9" s="125">
        <f>'8.2.pielikums'!P9</f>
        <v>32</v>
      </c>
      <c r="F9" s="126">
        <f t="shared" si="0"/>
        <v>56089.792</v>
      </c>
    </row>
    <row r="10" spans="2:6" s="4" customFormat="1" ht="18">
      <c r="B10" s="123" t="s">
        <v>176</v>
      </c>
      <c r="C10" s="219"/>
      <c r="D10" s="124">
        <f>'8.1. pielikums'!G30</f>
        <v>1156.54</v>
      </c>
      <c r="E10" s="125">
        <f>'8.2.pielikums'!R9</f>
        <v>12</v>
      </c>
      <c r="F10" s="126">
        <f t="shared" si="0"/>
        <v>13878.48</v>
      </c>
    </row>
    <row r="11" spans="2:6" s="4" customFormat="1" ht="18">
      <c r="B11" s="123" t="s">
        <v>178</v>
      </c>
      <c r="C11" s="219"/>
      <c r="D11" s="124">
        <f>'8.1. pielikums'!H30</f>
        <v>1938.5959999999998</v>
      </c>
      <c r="E11" s="125">
        <f>'8.2.pielikums'!T9</f>
        <v>84</v>
      </c>
      <c r="F11" s="126">
        <f t="shared" si="0"/>
        <v>162842.06399999998</v>
      </c>
    </row>
    <row r="12" spans="2:6" ht="15.75" customHeight="1">
      <c r="B12" s="220" t="s">
        <v>43</v>
      </c>
      <c r="C12" s="221"/>
      <c r="D12" s="221"/>
      <c r="E12" s="221"/>
      <c r="F12" s="222"/>
    </row>
    <row r="13" spans="2:8" ht="30" customHeight="1">
      <c r="B13" s="127" t="s">
        <v>35</v>
      </c>
      <c r="C13" s="214" t="s">
        <v>44</v>
      </c>
      <c r="D13" s="124">
        <f>ROUND('8.4.pielikums'!C13,2)</f>
        <v>427.74</v>
      </c>
      <c r="E13" s="128">
        <v>16</v>
      </c>
      <c r="F13" s="124">
        <f>D13*E13</f>
        <v>6843.84</v>
      </c>
      <c r="H13" s="35"/>
    </row>
    <row r="14" spans="2:8" ht="36">
      <c r="B14" s="127" t="s">
        <v>36</v>
      </c>
      <c r="C14" s="215"/>
      <c r="D14" s="129">
        <f>'8.5.pielikums'!C11</f>
        <v>751.75</v>
      </c>
      <c r="E14" s="128">
        <v>8</v>
      </c>
      <c r="F14" s="129">
        <f>D14*E14</f>
        <v>6014</v>
      </c>
      <c r="H14" s="35"/>
    </row>
    <row r="15" spans="2:8" ht="40.5" customHeight="1">
      <c r="B15" s="217" t="s">
        <v>180</v>
      </c>
      <c r="C15" s="217"/>
      <c r="D15" s="217"/>
      <c r="E15" s="217"/>
      <c r="F15" s="126">
        <f>SUM(F6:F11)+F13+F14</f>
        <v>386638.808</v>
      </c>
      <c r="H15" s="20"/>
    </row>
    <row r="17" ht="14.25">
      <c r="F17" s="118"/>
    </row>
    <row r="18" spans="2:6" ht="45" customHeight="1">
      <c r="B18" s="226"/>
      <c r="C18" s="218"/>
      <c r="D18" s="218"/>
      <c r="E18" s="218"/>
      <c r="F18" s="218"/>
    </row>
    <row r="19" spans="2:6" ht="45.75" customHeight="1">
      <c r="B19" s="218"/>
      <c r="C19" s="218"/>
      <c r="D19" s="218"/>
      <c r="E19" s="218"/>
      <c r="F19" s="218"/>
    </row>
  </sheetData>
  <sheetProtection/>
  <mergeCells count="9">
    <mergeCell ref="C13:C14"/>
    <mergeCell ref="D1:F1"/>
    <mergeCell ref="B15:E15"/>
    <mergeCell ref="B3:F3"/>
    <mergeCell ref="B19:F19"/>
    <mergeCell ref="C6:C11"/>
    <mergeCell ref="B12:F12"/>
    <mergeCell ref="B5:F5"/>
    <mergeCell ref="B18:F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Lilita Cīrule</cp:lastModifiedBy>
  <cp:lastPrinted>2023-10-29T22:02:07Z</cp:lastPrinted>
  <dcterms:created xsi:type="dcterms:W3CDTF">2021-08-12T13:01:54Z</dcterms:created>
  <dcterms:modified xsi:type="dcterms:W3CDTF">2023-11-16T16:00:53Z</dcterms:modified>
  <cp:category/>
  <cp:version/>
  <cp:contentType/>
  <cp:contentStatus/>
</cp:coreProperties>
</file>