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showInkAnnotation="0" defaultThemeVersion="124226"/>
  <mc:AlternateContent xmlns:mc="http://schemas.openxmlformats.org/markup-compatibility/2006">
    <mc:Choice Requires="x15">
      <x15ac:absPath xmlns:x15ac="http://schemas.microsoft.com/office/spreadsheetml/2010/11/ac" url="\\lm.local\LM\LMshared\SPASP_Baltina\1_5_Berni_ar_FT_4_nod_aprobētā_metodika\Vadībai_dotais_lasit_gala_variants\"/>
    </mc:Choice>
  </mc:AlternateContent>
  <xr:revisionPtr revIDLastSave="0" documentId="13_ncr:1_{FFFEDA92-8429-4E97-AC59-AE19D753E9C6}" xr6:coauthVersionLast="46" xr6:coauthVersionMax="46" xr10:uidLastSave="{00000000-0000-0000-0000-000000000000}"/>
  <bookViews>
    <workbookView xWindow="-120" yWindow="-120" windowWidth="29040" windowHeight="15840" firstSheet="18" activeTab="25" xr2:uid="{00000000-000D-0000-FFFF-FFFF00000000}"/>
  </bookViews>
  <sheets>
    <sheet name="SATURS" sheetId="14" r:id="rId1"/>
    <sheet name="7.1.1.pielikums" sheetId="10" r:id="rId2"/>
    <sheet name="7.1.2. pielikums" sheetId="13" r:id="rId3"/>
    <sheet name="7.1.3. pielikums" sheetId="3" r:id="rId4"/>
    <sheet name="7.1.4. pielikums" sheetId="9" r:id="rId5"/>
    <sheet name="7.1.5. pielikums" sheetId="5" r:id="rId6"/>
    <sheet name="7.2.1. pielikums" sheetId="15" r:id="rId7"/>
    <sheet name="7.2.2.. pielikums " sheetId="16" r:id="rId8"/>
    <sheet name="7.2.3.. pielikums" sheetId="17" r:id="rId9"/>
    <sheet name="7.2.4.. pielikums" sheetId="18" r:id="rId10"/>
    <sheet name="7.2.5.. pielikums" sheetId="19" r:id="rId11"/>
    <sheet name="7.3.1. pielikums" sheetId="20" r:id="rId12"/>
    <sheet name="7.3.2.. pielikums" sheetId="21" r:id="rId13"/>
    <sheet name="7.3..3. pielikums" sheetId="22" r:id="rId14"/>
    <sheet name="7.3.4.. pielikums" sheetId="23" r:id="rId15"/>
    <sheet name="7.3.5.. pielikums" sheetId="24" r:id="rId16"/>
    <sheet name="7.3.6.. pielikums" sheetId="25" r:id="rId17"/>
    <sheet name="7.4.1. pielikums" sheetId="26" r:id="rId18"/>
    <sheet name="7.4.2.pielikums" sheetId="27" r:id="rId19"/>
    <sheet name="7.4.3.. pielikums" sheetId="28" r:id="rId20"/>
    <sheet name="7.4.4. pielikums" sheetId="29" r:id="rId21"/>
    <sheet name="7.4.5. pielikums" sheetId="30" r:id="rId22"/>
    <sheet name="7_5_1_pielikums" sheetId="31" r:id="rId23"/>
    <sheet name="7_5_2_pielikums" sheetId="32" r:id="rId24"/>
    <sheet name="7_6_pielikums" sheetId="33" r:id="rId25"/>
    <sheet name="7_7_pielikums " sheetId="34" r:id="rId26"/>
  </sheets>
  <definedNames>
    <definedName name="_xlnm.Print_Area" localSheetId="1">'7.1.1.pielikums'!$A$2:$F$10</definedName>
    <definedName name="_xlnm.Print_Area" localSheetId="2">'7.1.2. pielikums'!$A$2:$AE$27</definedName>
    <definedName name="_xlnm.Print_Area" localSheetId="3">'7.1.3. pielikums'!$A$2:$F$10</definedName>
    <definedName name="_xlnm.Print_Area" localSheetId="4">'7.1.4. pielikums'!$A$2:$G$13</definedName>
    <definedName name="_xlnm.Print_Area" localSheetId="5">'7.1.5. pielikums'!$A$2:$B$5</definedName>
    <definedName name="_xlnm.Print_Area" localSheetId="6">'7.2.1. pielikums'!$A$2:$G$14</definedName>
    <definedName name="_xlnm.Print_Area" localSheetId="7">'7.2.2.. pielikums '!$A$2:$L$69</definedName>
    <definedName name="_xlnm.Print_Area" localSheetId="8">'7.2.3.. pielikums'!$A$2:$F$14</definedName>
    <definedName name="_xlnm.Print_Area" localSheetId="9">'7.2.4.. pielikums'!$A$2:$G$13</definedName>
    <definedName name="_xlnm.Print_Area" localSheetId="10">'7.2.5.. pielikums'!$A$2:$B$4</definedName>
    <definedName name="_xlnm.Print_Area" localSheetId="13">'7.3..3. pielikums'!$A$2:$F$13</definedName>
    <definedName name="_xlnm.Print_Area" localSheetId="11">'7.3.1. pielikums'!$A$2:$G$13</definedName>
    <definedName name="_xlnm.Print_Area" localSheetId="12">'7.3.2.. pielikums'!$A$2:$AD$29</definedName>
    <definedName name="_xlnm.Print_Area" localSheetId="14">'7.3.4.. pielikums'!$A$2:$C$13</definedName>
    <definedName name="_xlnm.Print_Area" localSheetId="15">'7.3.5.. pielikums'!$A$2:$G$13</definedName>
    <definedName name="_xlnm.Print_Area" localSheetId="16">'7.3.6.. pielikums'!$A$2:$B$4</definedName>
    <definedName name="_xlnm.Print_Area" localSheetId="17">'7.4.1. pielikums'!$A$2:$G$13</definedName>
    <definedName name="_xlnm.Print_Area" localSheetId="18">'7.4.2.pielikums'!$A$2:$K$21</definedName>
    <definedName name="_xlnm.Print_Area" localSheetId="19">'7.4.3.. pielikums'!$A$2:$F$13</definedName>
    <definedName name="_xlnm.Print_Area" localSheetId="20">'7.4.4. pielikums'!$A$2:$G$12</definedName>
    <definedName name="_xlnm.Print_Area" localSheetId="21">'7.4.5. pielikums'!$A$2:$B$4</definedName>
    <definedName name="_xlnm.Print_Area" localSheetId="22">'7_5_1_pielikums'!$A$2:$E$12</definedName>
    <definedName name="_xlnm.Print_Area" localSheetId="23">'7_5_2_pielikums'!$A$2:$E$20</definedName>
    <definedName name="_xlnm.Print_Area" localSheetId="24">'7_6_pielikums'!$A$2:$N$36</definedName>
    <definedName name="_xlnm.Print_Area" localSheetId="25">'7_7_pielikums '!$A$2:$F$8</definedName>
    <definedName name="_xlnm.Print_Titles" localSheetId="6">'7.2.1. pielikums'!$4:$5</definedName>
    <definedName name="_xlnm.Print_Titles" localSheetId="11">'7.3.1. pielikums'!$4:$5</definedName>
    <definedName name="_xlnm.Print_Titles" localSheetId="17">'7.4.1. pielikums'!$4:$5</definedName>
  </definedNames>
  <calcPr calcId="181029"/>
  <customWorkbookViews>
    <customWorkbookView name="Lilita Cirule - Personal View" guid="{BE8ADE53-8BEB-4C68-A52B-650D06D579FF}" mergeInterval="0" personalView="1" xWindow="5" windowWidth="1915" windowHeight="1160" activeSheetId="2"/>
    <customWorkbookView name="Elvira Grabovska - Personal View" guid="{DD9369C5-0AB7-4492-8028-68BB156F28A4}" mergeInterval="0" personalView="1" maximized="1" xWindow="-8" yWindow="-8" windowWidth="1936" windowHeight="1056" activeSheetId="1"/>
    <customWorkbookView name="Vjaceslavs Makarovs - Personal View" guid="{CC63F85D-63B9-4AE4-A28C-227DAE744DBC}" mergeInterval="0" personalView="1" maximized="1" xWindow="-8" yWindow="-8" windowWidth="1936" windowHeight="1056" activeSheetId="6"/>
  </customWorkbookViews>
  <fileRecoveryPr autoRecover="0"/>
</workbook>
</file>

<file path=xl/calcChain.xml><?xml version="1.0" encoding="utf-8"?>
<calcChain xmlns="http://schemas.openxmlformats.org/spreadsheetml/2006/main">
  <c r="C7" i="26" l="1"/>
  <c r="D7" i="26"/>
  <c r="C11" i="26"/>
  <c r="D11" i="26"/>
  <c r="C10" i="26"/>
  <c r="D10" i="26"/>
  <c r="C9" i="26"/>
  <c r="D9" i="26"/>
  <c r="C8" i="26"/>
  <c r="D8" i="26"/>
  <c r="D12" i="15"/>
  <c r="C12" i="15"/>
  <c r="C11" i="15"/>
  <c r="D11" i="15"/>
  <c r="C10" i="15"/>
  <c r="D10" i="15"/>
  <c r="C9" i="15"/>
  <c r="D9" i="15"/>
  <c r="D8" i="15"/>
  <c r="C7" i="15"/>
  <c r="C8" i="15"/>
  <c r="D7" i="15"/>
  <c r="C8" i="10"/>
  <c r="C7" i="10"/>
  <c r="C7" i="20"/>
  <c r="D7" i="20"/>
  <c r="C8" i="20"/>
  <c r="D8" i="20"/>
  <c r="C9" i="20"/>
  <c r="D9" i="20"/>
  <c r="C11" i="20"/>
  <c r="D11" i="20"/>
  <c r="C10" i="20"/>
  <c r="D10" i="20"/>
  <c r="AC7" i="21" l="1"/>
  <c r="K20" i="13" l="1"/>
  <c r="K23" i="13"/>
  <c r="C13" i="15" l="1"/>
  <c r="C12" i="20"/>
  <c r="C6" i="20" l="1"/>
  <c r="B35" i="14" l="1"/>
  <c r="A35" i="14"/>
  <c r="B34" i="14"/>
  <c r="A34" i="14"/>
  <c r="B33" i="14"/>
  <c r="A33" i="14"/>
  <c r="B32" i="14"/>
  <c r="A32" i="14"/>
  <c r="D6" i="34"/>
  <c r="E27" i="33"/>
  <c r="M15" i="33" s="1"/>
  <c r="D27" i="33"/>
  <c r="C27" i="33"/>
  <c r="E26" i="33"/>
  <c r="D26" i="33"/>
  <c r="C26" i="33"/>
  <c r="E23" i="33"/>
  <c r="D23" i="33"/>
  <c r="C23" i="33"/>
  <c r="G14" i="33" s="1"/>
  <c r="K14" i="33" s="1"/>
  <c r="E18" i="33"/>
  <c r="E32" i="33" s="1"/>
  <c r="E33" i="33" s="1"/>
  <c r="M17" i="33"/>
  <c r="I17" i="33"/>
  <c r="H17" i="33"/>
  <c r="L17" i="33" s="1"/>
  <c r="H16" i="33"/>
  <c r="L16" i="33" s="1"/>
  <c r="E16" i="33"/>
  <c r="I16" i="33" s="1"/>
  <c r="M16" i="33" s="1"/>
  <c r="D16" i="33"/>
  <c r="D18" i="33" s="1"/>
  <c r="C16" i="33"/>
  <c r="I15" i="33"/>
  <c r="H15" i="33"/>
  <c r="L15" i="33" s="1"/>
  <c r="L14" i="33"/>
  <c r="I14" i="33"/>
  <c r="M14" i="33" s="1"/>
  <c r="H14" i="33"/>
  <c r="M13" i="33"/>
  <c r="I13" i="33"/>
  <c r="H13" i="33"/>
  <c r="L13" i="33" s="1"/>
  <c r="L12" i="33"/>
  <c r="I12" i="33"/>
  <c r="M12" i="33" s="1"/>
  <c r="H12" i="33"/>
  <c r="G12" i="33"/>
  <c r="K12" i="33" s="1"/>
  <c r="N12" i="33" s="1"/>
  <c r="M11" i="33"/>
  <c r="I11" i="33"/>
  <c r="H11" i="33"/>
  <c r="L11" i="33" s="1"/>
  <c r="D19" i="32"/>
  <c r="B6" i="31" s="1"/>
  <c r="D6" i="31" s="1"/>
  <c r="D18" i="32"/>
  <c r="D17" i="32"/>
  <c r="D16" i="32"/>
  <c r="D15" i="32"/>
  <c r="D14" i="32"/>
  <c r="D13" i="32"/>
  <c r="D12" i="32"/>
  <c r="D11" i="32"/>
  <c r="D10" i="32"/>
  <c r="D9" i="32"/>
  <c r="D8" i="32"/>
  <c r="D7" i="31" l="1"/>
  <c r="D8" i="31" s="1"/>
  <c r="N14" i="33"/>
  <c r="D32" i="33"/>
  <c r="D33" i="33" s="1"/>
  <c r="H18" i="33"/>
  <c r="L18" i="33" s="1"/>
  <c r="G16" i="33"/>
  <c r="K16" i="33" s="1"/>
  <c r="N16" i="33" s="1"/>
  <c r="I18" i="33"/>
  <c r="M18" i="33" s="1"/>
  <c r="G11" i="33"/>
  <c r="K11" i="33" s="1"/>
  <c r="N11" i="33" s="1"/>
  <c r="G15" i="33"/>
  <c r="K15" i="33" s="1"/>
  <c r="N15" i="33" s="1"/>
  <c r="D7" i="34"/>
  <c r="D8" i="34" s="1"/>
  <c r="C17" i="33"/>
  <c r="G17" i="33" s="1"/>
  <c r="K17" i="33" s="1"/>
  <c r="N17" i="33" s="1"/>
  <c r="C18" i="33" l="1"/>
  <c r="C32" i="33" l="1"/>
  <c r="C33" i="33" s="1"/>
  <c r="C34" i="33" s="1"/>
  <c r="G18" i="33"/>
  <c r="K18" i="33" s="1"/>
  <c r="N18" i="33" s="1"/>
  <c r="G13" i="33"/>
  <c r="K13" i="33" s="1"/>
  <c r="N13" i="33" s="1"/>
  <c r="B31" i="14" l="1"/>
  <c r="A31" i="14"/>
  <c r="B30" i="14"/>
  <c r="A30" i="14"/>
  <c r="B29" i="14"/>
  <c r="A29" i="14"/>
  <c r="B28" i="14"/>
  <c r="A28" i="14"/>
  <c r="B27" i="14"/>
  <c r="A27" i="14"/>
  <c r="D7" i="29"/>
  <c r="E7" i="29" s="1"/>
  <c r="D6" i="29"/>
  <c r="E6" i="29" s="1"/>
  <c r="G6" i="29" s="1"/>
  <c r="C11" i="28"/>
  <c r="B11" i="28"/>
  <c r="D10" i="28"/>
  <c r="E10" i="28" s="1"/>
  <c r="F10" i="28" s="1"/>
  <c r="D9" i="28"/>
  <c r="E9" i="28" s="1"/>
  <c r="F9" i="28" s="1"/>
  <c r="E8" i="28"/>
  <c r="F8" i="28" s="1"/>
  <c r="D8" i="28"/>
  <c r="D7" i="28"/>
  <c r="E7" i="28" s="1"/>
  <c r="F7" i="28" s="1"/>
  <c r="D6" i="28"/>
  <c r="D11" i="28" s="1"/>
  <c r="E15" i="27"/>
  <c r="C15" i="27"/>
  <c r="G14" i="27"/>
  <c r="F14" i="27" s="1"/>
  <c r="D14" i="27"/>
  <c r="H14" i="27" s="1"/>
  <c r="G13" i="27"/>
  <c r="F13" i="27" s="1"/>
  <c r="D13" i="27"/>
  <c r="G12" i="27"/>
  <c r="F12" i="27" s="1"/>
  <c r="D12" i="27"/>
  <c r="H12" i="27" s="1"/>
  <c r="G11" i="27"/>
  <c r="F11" i="27" s="1"/>
  <c r="D11" i="27"/>
  <c r="G10" i="27"/>
  <c r="F10" i="27" s="1"/>
  <c r="D10" i="27"/>
  <c r="H10" i="27" s="1"/>
  <c r="G9" i="27"/>
  <c r="F9" i="27" s="1"/>
  <c r="D9" i="27"/>
  <c r="D6" i="26"/>
  <c r="C6" i="26"/>
  <c r="B6" i="26"/>
  <c r="H9" i="27" l="1"/>
  <c r="H11" i="27"/>
  <c r="H13" i="27"/>
  <c r="E18" i="27"/>
  <c r="E6" i="28"/>
  <c r="G15" i="27"/>
  <c r="F15" i="27" s="1"/>
  <c r="D15" i="27" l="1"/>
  <c r="H15" i="27" s="1"/>
  <c r="E11" i="28"/>
  <c r="F6" i="28"/>
  <c r="F11" i="28" s="1"/>
  <c r="E19" i="27" s="1"/>
  <c r="E21" i="27" s="1"/>
  <c r="D13" i="26" l="1"/>
  <c r="C12" i="26"/>
  <c r="C13" i="26" s="1"/>
  <c r="B26" i="14" l="1"/>
  <c r="A26" i="14"/>
  <c r="B25" i="14"/>
  <c r="A25" i="14"/>
  <c r="B24" i="14"/>
  <c r="A24" i="14"/>
  <c r="B23" i="14"/>
  <c r="A23" i="14"/>
  <c r="B22" i="14"/>
  <c r="A22" i="14"/>
  <c r="B21" i="14"/>
  <c r="A21" i="14"/>
  <c r="D8" i="24"/>
  <c r="E8" i="24" s="1"/>
  <c r="D6" i="24"/>
  <c r="E6" i="24" s="1"/>
  <c r="G7" i="24" s="1"/>
  <c r="C8" i="23"/>
  <c r="C9" i="23" s="1"/>
  <c r="C11" i="23" s="1"/>
  <c r="C12" i="23" s="1"/>
  <c r="C13" i="23" s="1"/>
  <c r="B11" i="22"/>
  <c r="C10" i="22"/>
  <c r="D10" i="22" s="1"/>
  <c r="E10" i="22" s="1"/>
  <c r="F10" i="22" s="1"/>
  <c r="C9" i="22"/>
  <c r="D9" i="22" s="1"/>
  <c r="E9" i="22" s="1"/>
  <c r="F9" i="22" s="1"/>
  <c r="C8" i="22"/>
  <c r="D8" i="22" s="1"/>
  <c r="E8" i="22" s="1"/>
  <c r="F8" i="22" s="1"/>
  <c r="C7" i="22"/>
  <c r="C11" i="22" s="1"/>
  <c r="AB21" i="21"/>
  <c r="AB25" i="21" s="1"/>
  <c r="AA21" i="21"/>
  <c r="AA25" i="21" s="1"/>
  <c r="Z21" i="21"/>
  <c r="Z25" i="21" s="1"/>
  <c r="Y21" i="21"/>
  <c r="Y25" i="21" s="1"/>
  <c r="X21" i="21"/>
  <c r="X25" i="21" s="1"/>
  <c r="W21" i="21"/>
  <c r="W25" i="21" s="1"/>
  <c r="V21" i="21"/>
  <c r="V25" i="21" s="1"/>
  <c r="U21" i="21"/>
  <c r="U25" i="21" s="1"/>
  <c r="S21" i="21"/>
  <c r="S25" i="21" s="1"/>
  <c r="R21" i="21"/>
  <c r="R25" i="21" s="1"/>
  <c r="Q21" i="21"/>
  <c r="Q25" i="21" s="1"/>
  <c r="P21" i="21"/>
  <c r="P25" i="21" s="1"/>
  <c r="O21" i="21"/>
  <c r="O25" i="21" s="1"/>
  <c r="N21" i="21"/>
  <c r="N25" i="21" s="1"/>
  <c r="M21" i="21"/>
  <c r="M25" i="21" s="1"/>
  <c r="L21" i="21"/>
  <c r="L25" i="21" s="1"/>
  <c r="J21" i="21"/>
  <c r="J25" i="21" s="1"/>
  <c r="I21" i="21"/>
  <c r="I25" i="21" s="1"/>
  <c r="H21" i="21"/>
  <c r="H25" i="21" s="1"/>
  <c r="G21" i="21"/>
  <c r="G25" i="21" s="1"/>
  <c r="F21" i="21"/>
  <c r="F25" i="21" s="1"/>
  <c r="E21" i="21"/>
  <c r="E25" i="21" s="1"/>
  <c r="D21" i="21"/>
  <c r="D25" i="21" s="1"/>
  <c r="C21" i="21"/>
  <c r="C25" i="21" s="1"/>
  <c r="AB19" i="21"/>
  <c r="AA19" i="21"/>
  <c r="Z19" i="21"/>
  <c r="Y19" i="21"/>
  <c r="X19" i="21"/>
  <c r="W19" i="21"/>
  <c r="V19" i="21"/>
  <c r="U19" i="21"/>
  <c r="S19" i="21"/>
  <c r="R19" i="21"/>
  <c r="Q19" i="21"/>
  <c r="P19" i="21"/>
  <c r="O19" i="21"/>
  <c r="N19" i="21"/>
  <c r="M19" i="21"/>
  <c r="L19" i="21"/>
  <c r="J19" i="21"/>
  <c r="I19" i="21"/>
  <c r="H19" i="21"/>
  <c r="G19" i="21"/>
  <c r="F19" i="21"/>
  <c r="E19" i="21"/>
  <c r="D19" i="21"/>
  <c r="C19" i="21"/>
  <c r="AC18" i="21"/>
  <c r="T18" i="21"/>
  <c r="K18" i="21"/>
  <c r="AD18" i="21" s="1"/>
  <c r="T17" i="21"/>
  <c r="AD17" i="21" s="1"/>
  <c r="AC16" i="21"/>
  <c r="T16" i="21"/>
  <c r="K16" i="21"/>
  <c r="AD16" i="21" s="1"/>
  <c r="AC15" i="21"/>
  <c r="T15" i="21"/>
  <c r="K15" i="21"/>
  <c r="AD15" i="21" s="1"/>
  <c r="AC14" i="21"/>
  <c r="T14" i="21"/>
  <c r="K14" i="21"/>
  <c r="AD14" i="21" s="1"/>
  <c r="AC13" i="21"/>
  <c r="T13" i="21"/>
  <c r="K13" i="21"/>
  <c r="AD13" i="21" s="1"/>
  <c r="AC12" i="21"/>
  <c r="T12" i="21"/>
  <c r="K12" i="21"/>
  <c r="AD12" i="21" s="1"/>
  <c r="AC11" i="21"/>
  <c r="T11" i="21"/>
  <c r="K11" i="21"/>
  <c r="AD11" i="21" s="1"/>
  <c r="AC10" i="21"/>
  <c r="T10" i="21"/>
  <c r="K10" i="21"/>
  <c r="AD10" i="21" s="1"/>
  <c r="AC9" i="21"/>
  <c r="T9" i="21"/>
  <c r="K9" i="21"/>
  <c r="AD9" i="21" s="1"/>
  <c r="AC8" i="21"/>
  <c r="T8" i="21"/>
  <c r="K8" i="21"/>
  <c r="AD8" i="21" s="1"/>
  <c r="AC21" i="21"/>
  <c r="AC25" i="21" s="1"/>
  <c r="T7" i="21"/>
  <c r="T21" i="21" s="1"/>
  <c r="T25" i="21" s="1"/>
  <c r="K7" i="21"/>
  <c r="AD7" i="21" s="1"/>
  <c r="AC6" i="21"/>
  <c r="T6" i="21"/>
  <c r="K6" i="21"/>
  <c r="AD6" i="21" s="1"/>
  <c r="B6" i="20"/>
  <c r="D6" i="20" l="1"/>
  <c r="D13" i="20" s="1"/>
  <c r="C13" i="20"/>
  <c r="AD21" i="21"/>
  <c r="AD25" i="21" s="1"/>
  <c r="K21" i="21"/>
  <c r="K25" i="21" s="1"/>
  <c r="D7" i="22"/>
  <c r="D11" i="22" l="1"/>
  <c r="E7" i="22"/>
  <c r="E11" i="22" l="1"/>
  <c r="F7" i="22"/>
  <c r="F11" i="22" s="1"/>
  <c r="B20" i="14" l="1"/>
  <c r="A20" i="14"/>
  <c r="B19" i="14"/>
  <c r="A19" i="14"/>
  <c r="B18" i="14"/>
  <c r="A18" i="14"/>
  <c r="B17" i="14"/>
  <c r="A17" i="14"/>
  <c r="B16" i="14"/>
  <c r="A16" i="14"/>
  <c r="D8" i="18"/>
  <c r="E8" i="18" s="1"/>
  <c r="D7" i="18"/>
  <c r="D6" i="18"/>
  <c r="E6" i="18" s="1"/>
  <c r="G6" i="18" s="1"/>
  <c r="B12" i="17"/>
  <c r="C11" i="17"/>
  <c r="D11" i="17" s="1"/>
  <c r="E11" i="17" s="1"/>
  <c r="F11" i="17" s="1"/>
  <c r="C10" i="17"/>
  <c r="D10" i="17" s="1"/>
  <c r="E10" i="17" s="1"/>
  <c r="F10" i="17" s="1"/>
  <c r="C9" i="17"/>
  <c r="D9" i="17" s="1"/>
  <c r="E9" i="17" s="1"/>
  <c r="F9" i="17" s="1"/>
  <c r="C8" i="17"/>
  <c r="D8" i="17" s="1"/>
  <c r="E8" i="17" s="1"/>
  <c r="F8" i="17" s="1"/>
  <c r="C7" i="17"/>
  <c r="D7" i="17" s="1"/>
  <c r="E7" i="17" s="1"/>
  <c r="F7" i="17" s="1"/>
  <c r="C6" i="17"/>
  <c r="C12" i="17" s="1"/>
  <c r="J63" i="16"/>
  <c r="I63" i="16"/>
  <c r="H63" i="16"/>
  <c r="G63" i="16"/>
  <c r="F63" i="16"/>
  <c r="E63" i="16"/>
  <c r="D63" i="16"/>
  <c r="C63" i="16"/>
  <c r="J61" i="16"/>
  <c r="I61" i="16"/>
  <c r="H61" i="16"/>
  <c r="G61" i="16"/>
  <c r="F61" i="16"/>
  <c r="E61" i="16"/>
  <c r="D61" i="16"/>
  <c r="C61" i="16"/>
  <c r="K60" i="16"/>
  <c r="K59" i="16"/>
  <c r="K58" i="16"/>
  <c r="K57" i="16"/>
  <c r="K56" i="16"/>
  <c r="K55" i="16"/>
  <c r="K54" i="16"/>
  <c r="K53" i="16"/>
  <c r="K52" i="16"/>
  <c r="K51" i="16"/>
  <c r="K50" i="16"/>
  <c r="K63" i="16" s="1"/>
  <c r="K66" i="16" s="1"/>
  <c r="K49" i="16"/>
  <c r="K61" i="16" s="1"/>
  <c r="J41" i="16"/>
  <c r="I41" i="16"/>
  <c r="H41" i="16"/>
  <c r="G41" i="16"/>
  <c r="F41" i="16"/>
  <c r="E41" i="16"/>
  <c r="D41" i="16"/>
  <c r="C41" i="16"/>
  <c r="J39" i="16"/>
  <c r="I39" i="16"/>
  <c r="H39" i="16"/>
  <c r="G39" i="16"/>
  <c r="F39" i="16"/>
  <c r="E39" i="16"/>
  <c r="D39" i="16"/>
  <c r="C39" i="16"/>
  <c r="K38" i="16"/>
  <c r="K37" i="16"/>
  <c r="K36" i="16"/>
  <c r="K35" i="16"/>
  <c r="K34" i="16"/>
  <c r="K33" i="16"/>
  <c r="K32" i="16"/>
  <c r="K31" i="16"/>
  <c r="K30" i="16"/>
  <c r="K29" i="16"/>
  <c r="K28" i="16"/>
  <c r="K41" i="16" s="1"/>
  <c r="K44" i="16" s="1"/>
  <c r="K27" i="16"/>
  <c r="K39" i="16" s="1"/>
  <c r="J20" i="16"/>
  <c r="I20" i="16"/>
  <c r="H20" i="16"/>
  <c r="G20" i="16"/>
  <c r="F20" i="16"/>
  <c r="E20" i="16"/>
  <c r="D20" i="16"/>
  <c r="C20" i="16"/>
  <c r="J18" i="16"/>
  <c r="I18" i="16"/>
  <c r="H18" i="16"/>
  <c r="G18" i="16"/>
  <c r="F18" i="16"/>
  <c r="E18" i="16"/>
  <c r="D18" i="16"/>
  <c r="C18" i="16"/>
  <c r="K17" i="16"/>
  <c r="L60" i="16" s="1"/>
  <c r="K16" i="16"/>
  <c r="L59" i="16" s="1"/>
  <c r="K15" i="16"/>
  <c r="L58" i="16" s="1"/>
  <c r="K14" i="16"/>
  <c r="L57" i="16" s="1"/>
  <c r="K13" i="16"/>
  <c r="L56" i="16" s="1"/>
  <c r="K12" i="16"/>
  <c r="L55" i="16" s="1"/>
  <c r="K11" i="16"/>
  <c r="L54" i="16" s="1"/>
  <c r="K10" i="16"/>
  <c r="L53" i="16" s="1"/>
  <c r="K9" i="16"/>
  <c r="L52" i="16" s="1"/>
  <c r="K8" i="16"/>
  <c r="L51" i="16" s="1"/>
  <c r="K7" i="16"/>
  <c r="L50" i="16" s="1"/>
  <c r="L63" i="16" s="1"/>
  <c r="L66" i="16" s="1"/>
  <c r="K6" i="16"/>
  <c r="K18" i="16" s="1"/>
  <c r="C6" i="15"/>
  <c r="C14" i="15" s="1"/>
  <c r="B6" i="15"/>
  <c r="D6" i="15" l="1"/>
  <c r="D14" i="15" s="1"/>
  <c r="L49" i="16"/>
  <c r="L61" i="16" s="1"/>
  <c r="K20" i="16"/>
  <c r="K23" i="16" s="1"/>
  <c r="D6" i="17"/>
  <c r="D12" i="17" l="1"/>
  <c r="E6" i="17"/>
  <c r="E12" i="17" l="1"/>
  <c r="F6" i="17"/>
  <c r="F12" i="17" s="1"/>
  <c r="B15" i="14" l="1"/>
  <c r="A15" i="14"/>
  <c r="B14" i="14"/>
  <c r="A14" i="14"/>
  <c r="B13" i="14"/>
  <c r="A13" i="14"/>
  <c r="B12" i="14"/>
  <c r="A12" i="14"/>
  <c r="B11" i="14"/>
  <c r="A11" i="14"/>
  <c r="D20" i="13" l="1"/>
  <c r="E20" i="13"/>
  <c r="F20" i="13"/>
  <c r="G20" i="13"/>
  <c r="H20" i="13"/>
  <c r="I20" i="13"/>
  <c r="J20" i="13"/>
  <c r="L20" i="13"/>
  <c r="M20" i="13"/>
  <c r="N20" i="13"/>
  <c r="O20" i="13"/>
  <c r="P20" i="13"/>
  <c r="Q20" i="13"/>
  <c r="R20" i="13"/>
  <c r="S20" i="13"/>
  <c r="U20" i="13"/>
  <c r="V20" i="13"/>
  <c r="W20" i="13"/>
  <c r="X20" i="13"/>
  <c r="Y20" i="13"/>
  <c r="Z20" i="13"/>
  <c r="AA20" i="13"/>
  <c r="AB20" i="13"/>
  <c r="AC20" i="13"/>
  <c r="C20" i="13"/>
  <c r="AC18" i="13" l="1"/>
  <c r="AB18" i="13"/>
  <c r="AA18" i="13"/>
  <c r="Z18" i="13"/>
  <c r="Y18" i="13"/>
  <c r="X18" i="13"/>
  <c r="W18" i="13"/>
  <c r="V18" i="13"/>
  <c r="U18" i="13"/>
  <c r="S18" i="13"/>
  <c r="R18" i="13"/>
  <c r="Q18" i="13"/>
  <c r="P18" i="13"/>
  <c r="O18" i="13"/>
  <c r="N18" i="13"/>
  <c r="M18" i="13"/>
  <c r="L18" i="13"/>
  <c r="J18" i="13"/>
  <c r="I18" i="13"/>
  <c r="H18" i="13"/>
  <c r="G18" i="13"/>
  <c r="F18" i="13"/>
  <c r="E18" i="13"/>
  <c r="D18" i="13"/>
  <c r="C18" i="13"/>
  <c r="AD17" i="13"/>
  <c r="T17" i="13"/>
  <c r="K17" i="13"/>
  <c r="AD16" i="13"/>
  <c r="T16" i="13"/>
  <c r="K16" i="13"/>
  <c r="AD15" i="13"/>
  <c r="T15" i="13"/>
  <c r="K15" i="13"/>
  <c r="AD14" i="13"/>
  <c r="T14" i="13"/>
  <c r="K14" i="13"/>
  <c r="AD13" i="13"/>
  <c r="T13" i="13"/>
  <c r="K13" i="13"/>
  <c r="AD12" i="13"/>
  <c r="T12" i="13"/>
  <c r="K12" i="13"/>
  <c r="AE12" i="13" s="1"/>
  <c r="AD11" i="13"/>
  <c r="T11" i="13"/>
  <c r="K11" i="13"/>
  <c r="AD10" i="13"/>
  <c r="T10" i="13"/>
  <c r="K10" i="13"/>
  <c r="AD9" i="13"/>
  <c r="T9" i="13"/>
  <c r="K9" i="13"/>
  <c r="AE8" i="13"/>
  <c r="AD7" i="13"/>
  <c r="T7" i="13"/>
  <c r="K7" i="13"/>
  <c r="AD6" i="13"/>
  <c r="T6" i="13"/>
  <c r="K6" i="13"/>
  <c r="C6" i="10"/>
  <c r="B6" i="10"/>
  <c r="AE16" i="13" l="1"/>
  <c r="AD20" i="13"/>
  <c r="AD23" i="13" s="1"/>
  <c r="AE11" i="13"/>
  <c r="AE15" i="13"/>
  <c r="T20" i="13"/>
  <c r="T23" i="13" s="1"/>
  <c r="AD18" i="13"/>
  <c r="AE6" i="13"/>
  <c r="AE7" i="13"/>
  <c r="K18" i="13"/>
  <c r="AE10" i="13"/>
  <c r="AE14" i="13"/>
  <c r="T18" i="13"/>
  <c r="AE9" i="13"/>
  <c r="AE13" i="13"/>
  <c r="AE17" i="13"/>
  <c r="C10" i="10"/>
  <c r="E6" i="3"/>
  <c r="F6" i="3" s="1"/>
  <c r="D7" i="3"/>
  <c r="E7" i="3" s="1"/>
  <c r="D6" i="3"/>
  <c r="D8" i="3" s="1"/>
  <c r="C8" i="3"/>
  <c r="D8" i="9"/>
  <c r="E8" i="9" s="1"/>
  <c r="D6" i="9"/>
  <c r="D7" i="9"/>
  <c r="AE18" i="13" l="1"/>
  <c r="AE20" i="13"/>
  <c r="AE23" i="13" s="1"/>
  <c r="E6" i="9"/>
  <c r="G6" i="9" s="1"/>
  <c r="E8" i="3"/>
  <c r="F7" i="3"/>
  <c r="F8" i="3" s="1"/>
</calcChain>
</file>

<file path=xl/sharedStrings.xml><?xml version="1.0" encoding="utf-8"?>
<sst xmlns="http://schemas.openxmlformats.org/spreadsheetml/2006/main" count="653" uniqueCount="402">
  <si>
    <t>Aprēķins</t>
  </si>
  <si>
    <t>X</t>
  </si>
  <si>
    <t>aprūpētājs</t>
  </si>
  <si>
    <t>Saimniecības un higiēnas preces</t>
  </si>
  <si>
    <t>Atlīdzības izmaksas kopā</t>
  </si>
  <si>
    <t xml:space="preserve">Speciālistu (slodžu) skaits </t>
  </si>
  <si>
    <t>Sakaru pakalpojumi (telefons, internets, pasts)</t>
  </si>
  <si>
    <t xml:space="preserve">Aprūpētājs 40 stundas nedēļā (8 stundas darba dienā) </t>
  </si>
  <si>
    <t xml:space="preserve">Plānotais klientu skaits </t>
  </si>
  <si>
    <t xml:space="preserve"> Slodze</t>
  </si>
  <si>
    <t>Izdevumu pozīcija</t>
  </si>
  <si>
    <t>AM1</t>
  </si>
  <si>
    <t>AM2</t>
  </si>
  <si>
    <t>AM3</t>
  </si>
  <si>
    <t>AM4</t>
  </si>
  <si>
    <t>AM5</t>
  </si>
  <si>
    <t>AM6</t>
  </si>
  <si>
    <t>AM7</t>
  </si>
  <si>
    <t>AM8</t>
  </si>
  <si>
    <t>AM9</t>
  </si>
  <si>
    <t>Transports (degviela, īre, apkope, adrošināšana u.c.)</t>
  </si>
  <si>
    <t>Telpas (īre, komunālie maksājumi, uzturēšanas pasākumi)</t>
  </si>
  <si>
    <t>Darbinieku izglītības izdevumi</t>
  </si>
  <si>
    <t>Ar admin.darbību saistītie izdevumi (darba aizsardz.sist.uzturēš.pak., bankas konta apkalp. u.c.)</t>
  </si>
  <si>
    <t>Inventārs, inventāra remonts (materiāli un pakalpojums)</t>
  </si>
  <si>
    <t>Kancelejas preces un biroja preces</t>
  </si>
  <si>
    <t>euro</t>
  </si>
  <si>
    <t>Kopējās veselības apdrošināšanas izmaksas gadā, euro*</t>
  </si>
  <si>
    <t>4=3*213.43 euro</t>
  </si>
  <si>
    <t>5=4/2</t>
  </si>
  <si>
    <t xml:space="preserve">Kopējās vidējās izm., euro </t>
  </si>
  <si>
    <t>Ar pakalpojuma  administrēšanu, prasību nodrošināšanu un uzturēšanu saistītās izmaksas kopā</t>
  </si>
  <si>
    <t>Nr. p.k.</t>
  </si>
  <si>
    <t>Supervīzijas cena vienam darbiniekam, euro/gadā*</t>
  </si>
  <si>
    <t>4=2/3</t>
  </si>
  <si>
    <t>Speciālists</t>
  </si>
  <si>
    <t>Institūcijas un struktūrvienības vadītājs</t>
  </si>
  <si>
    <t>Pārējie darbinieki</t>
  </si>
  <si>
    <t>Supervīzijas izmaksas par darba stundu (viens darbinieks)</t>
  </si>
  <si>
    <t>Vidējās supervīzijas izmaksas par darba stundu (viens darbinieks)</t>
  </si>
  <si>
    <t>*** Vidējās supervīzijas izmaksas darba stundā aprēķinātas diviem darbiniekiem, ņemot vērā, ka vienas vienības izmaksu standarta likmes aprēķinā pieņemts, ka pakalpojumu nodrošina divi darbinieki.</t>
  </si>
  <si>
    <t>Vidējās supervīzijas izmaksas par darba stundu (divi darbinieki)***</t>
  </si>
  <si>
    <t xml:space="preserve">Darba laiks gadā** </t>
  </si>
  <si>
    <t>Supervīzijas izmaksu aprēķins pakalpojumam "Aprūpe mājās"</t>
  </si>
  <si>
    <t>5=4 (vidējais)</t>
  </si>
  <si>
    <t>aprūpētāja darba kordinators</t>
  </si>
  <si>
    <t>Veselības apdrošināšanas izmaksu aprēķins pakalpojumam "Aprūpe mājās"</t>
  </si>
  <si>
    <r>
      <t>6=5/252 darba diena (vidēji gadā) /8 h</t>
    </r>
    <r>
      <rPr>
        <strike/>
        <sz val="11"/>
        <color indexed="30"/>
        <rFont val="Times New Roman"/>
        <family val="1"/>
        <charset val="186"/>
      </rPr>
      <t/>
    </r>
  </si>
  <si>
    <t>**** Sociālā darba speciālisti - sociālais darbinieks, sociālais rehabilitētājs un sociālais aprūpētājs.</t>
  </si>
  <si>
    <t>Sociālā darba speciālists****</t>
  </si>
  <si>
    <t>Darbinieku skaits</t>
  </si>
  <si>
    <t>7=5*6</t>
  </si>
  <si>
    <t xml:space="preserve">Aprūpētāju darba koordinātors 40 stundas nedēļā (8 stundas darba dienā) </t>
  </si>
  <si>
    <t>Atlīdzība*</t>
  </si>
  <si>
    <t>Ēdināšanas izdevumi**</t>
  </si>
  <si>
    <t>Mācību materiāli un līdzekļi**</t>
  </si>
  <si>
    <t>Pakalpojuma "Aprūpe mājās" sniedzēju izmaksu apkopojums un vidējo izmaksu aprēķins</t>
  </si>
  <si>
    <t>Kopā:</t>
  </si>
  <si>
    <t>Veselības apdrošināšanas izmaksas par 1 klientu/gadā, euro</t>
  </si>
  <si>
    <t>* Likuma par iedzīvotāju ienākuma nodokli 8. panta 5. daļa nosaka, ka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 veselības apdrošināšanas prēmija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t.i.:  213.43 euro.</t>
  </si>
  <si>
    <t>Veselības apdrošināšanas izmaksas par 1 klientu/h, euro</t>
  </si>
  <si>
    <t>Speciālisti</t>
  </si>
  <si>
    <t>Izmaksas par 1 klientu stundā</t>
  </si>
  <si>
    <t>*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</si>
  <si>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 xml:space="preserve">**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</si>
  <si>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Izmaksas par vienu klientu stundā 2017. gadā, euro</t>
  </si>
  <si>
    <t>Izmaksas par vienu klientu stundā 2018. gadā, euro</t>
  </si>
  <si>
    <t>Izmaksas par vienu klientu stundā 2019. gadā, euro</t>
  </si>
  <si>
    <t>Vidējās izm. 2017. gadā</t>
  </si>
  <si>
    <t>Vidējās izm. 2019. gadā</t>
  </si>
  <si>
    <t>Vidējās izm. 2018. gadā</t>
  </si>
  <si>
    <t>Darba devēja apmaksātie veselības izdevumi***</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</si>
  <si>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7.1. pielikumu).</t>
  </si>
  <si>
    <t>7.1.2.pielikums</t>
  </si>
  <si>
    <t>7.1.3. pielikums</t>
  </si>
  <si>
    <t>7.1.4. pielikums</t>
  </si>
  <si>
    <t>Veselības apdrošināšanas izmaksas (aprēkins 7.1.3.pielikumā)</t>
  </si>
  <si>
    <t>Supervīzijas izmaksas (aprēķins 7.1.4.pielikumā)</t>
  </si>
  <si>
    <t>Izdevumun pozīcijas nr.2, nr.4. no nr.6- -nr.8 un no nr.10- nr.12 , kopā</t>
  </si>
  <si>
    <t xml:space="preserve">
Atlīdzība (darba samaksa + VSAOI (DD soc. nod.)): darba alga speciālistiem un apkalpojošajam personālam, kas nodrošina pakalpojuma sniegšanu, ieskaitot VSAOI, sociālās garantijas un atvaļinājumus.</t>
  </si>
  <si>
    <t xml:space="preserve">** 2020.gadā 2002 darba stundas (normāla darba laika ietvaros). </t>
  </si>
  <si>
    <t>Informācija tika pieprasīta elektroniski un pa telefonu. Vienas vienības standarta likmes aprēķinā izmantoti dati no dienas aprūpes centra pakalpojumu sniedzējiem, kuri atsaucās aicinājumam sniegt pieprasīto informāciju, t.sk.,:
1) Rīgas plānošanas reģions -  Biedrība "Latvijas Samariešu apvienība" Rīga, biedrība "Latvijas Sarkanais Krusts" Rīga,  SIA  "Mājas aprūpe" Rīga, biedrība "Svētā Jāņa palīdzība" Rīga, SIA "Pirmais patronāžas serviss" Rīga; SIA "Aprūpes birojs" Rīga.
2) Zemgales plānošanas reģions – pašvaldību iestādes "Jelgavas sociālo lietu pārvalde"/ pakalpojumu nodrošina biedrība "Latvijas Samariešu apvienība" Jelgavā, Bauskas novada sociālais dienests/pakalpojumu nodrošina biedrība "Latvijas Sarkanais krusts" Bauskas novadā.
3) Kurzemes plānošanas reģions – Liepājas pilsētas domes Sociālā dienests Liepājā; 
Ņemot vērā, ka biedrības "Latvijas Samariešu apvienība" un "Latvijas Sarkanais krusts" aprūpes mājās pakalpojumu nodrošina visā Latvijā, tad arī pakalpojuma izmaksas dažādās  pašvaldībās  atšķiras.</t>
  </si>
  <si>
    <t>Informācija par sociālo pakalpojumu sniedzējiem, kuru sniegtā informācija tika analizēta, veidojot pakalpojuma "Aprūpe mājās"  izmaksas</t>
  </si>
  <si>
    <t>Aprēķins 7.1.2.pielikumā</t>
  </si>
  <si>
    <t>7.pielikums</t>
  </si>
  <si>
    <t>SATURS</t>
  </si>
  <si>
    <t xml:space="preserve">4. nodevums 
Gala ziņojums “Sabiedrībā balstītu sociālo pakalpojumu bērniem ar funkcionāliem traucējumiem finansēšanas mehānisma apraksta un ieviešanas metodikas izstrāde”
</t>
  </si>
  <si>
    <t>Nosaukums</t>
  </si>
  <si>
    <t>7.1.5. pielikums</t>
  </si>
  <si>
    <t>7.1.1.pielikums</t>
  </si>
  <si>
    <t>7.2.1. pielikums</t>
  </si>
  <si>
    <t>Izmaksas 1 klientam dienā</t>
  </si>
  <si>
    <t>Paskaidrojums</t>
  </si>
  <si>
    <t>Apraksts</t>
  </si>
  <si>
    <t>Mēnesī vidēji  21 darba diena, t.sk.  166.8  darba stundas. Atlīdzība (darba samaksa + VSAOI (DD soc. nod.)): darba alga speciālistiem un apkalpojošajam personālam, kas nodrošina pakalpojuma sniegšanu, ieskaitot VSAOI, sociālās garantijas un atvaļinājums.</t>
  </si>
  <si>
    <t xml:space="preserve">Sociālais rehabilitētājs vai cits speciālists – nodarbību vadītājs  uz 20 klientiem  40 stundas nedēļā (8 stundas darba dienā) </t>
  </si>
  <si>
    <t xml:space="preserve">Sociālais darbinieks uz 20 klientiem 40 stundas nedēļā (8 stundas darba dienā) </t>
  </si>
  <si>
    <t xml:space="preserve">Sociālais aprūpētājs uz 20 klientiem 40 stundas nedēļā (8 stundas darba dienā) </t>
  </si>
  <si>
    <t xml:space="preserve">Aprūpētājs uz 20 klientiem 40 stundas nedēļā (8 stundas darba dienā) </t>
  </si>
  <si>
    <t>DAC vadītājs</t>
  </si>
  <si>
    <t>DAC grāmatvedis</t>
  </si>
  <si>
    <t>Ar pakalpojuma  administrēšanu, prasību nodrošināšanu un klientu uzturēšanu saistītās izmaksas  kopā</t>
  </si>
  <si>
    <t>Aprēķins 7.2.2.pielikumā</t>
  </si>
  <si>
    <t>Pakalpojuma izmaksas: 1) kancelejas un biroja preces,  2) saimniecības un higiēnas preces, 3) transportas (degviela, īre, apkope, adrošināšana u.c.), 4) telpu īres izmaksas, komunālie pakalpojumi (apkure, ūdens un kanalizācija, elektrība, gāze, atkritumu izvešana) un uzturēšanas pakalpojumi (apdrošināšana, signalizācijas sistēmu uzstādīšana, remontdarbu pakalpojumi),  5) inventārs,  6) darbinieku izglītības izdevumi, 7) sakaru pakalpojumi, 8) darba devēja apmaksātie veselības apdrošināšanas izdevumi, 9) supervīziju izdevumi, 10) ar pakalpojuma administrēšanau saistītie izdevumi.</t>
  </si>
  <si>
    <t>7.2.2.. pielikums</t>
  </si>
  <si>
    <t>Pakalpojuma "Dienas aprūpes centri" pakalpojuma sniedzēju iesniegto izmaksu apkopojums un vidējo izmaksu aprēķins</t>
  </si>
  <si>
    <t>Nr.</t>
  </si>
  <si>
    <t>Izmaksas par vienu klientu dienā 2017. gadā, euro</t>
  </si>
  <si>
    <t>DAC1</t>
  </si>
  <si>
    <t>DAC2</t>
  </si>
  <si>
    <t>DAC3</t>
  </si>
  <si>
    <t>DAC4</t>
  </si>
  <si>
    <t>DAC5</t>
  </si>
  <si>
    <t>DAC6</t>
  </si>
  <si>
    <t>DAC7</t>
  </si>
  <si>
    <t>DAC8</t>
  </si>
  <si>
    <t>Vidējās izmaksas 2017. gadā, euro</t>
  </si>
  <si>
    <t>Ēdināšanas izdevumi</t>
  </si>
  <si>
    <t>Mācību materiāli un līdzekļi</t>
  </si>
  <si>
    <t>Darba devēja apmaksātie veselības izdevumi**</t>
  </si>
  <si>
    <t>Saimnieciskie pamatlīdzekļi, inventārs, inventāra remonts (materiāli un pakalpojums)</t>
  </si>
  <si>
    <t>Kopā</t>
  </si>
  <si>
    <t xml:space="preserve">Ar pakalpojuma  administrēšanu, prasību nodrošināšanu un klientu uzturēšanu saistītās izmaksas </t>
  </si>
  <si>
    <t>Veselības apdrošināšanas izmaksas</t>
  </si>
  <si>
    <t>Supervīziju izmaksas</t>
  </si>
  <si>
    <t>Izmaksas par vienu klientu dienā 2018. gadā, euro</t>
  </si>
  <si>
    <t>Vidējās izmaksas 2018. gadā, euro</t>
  </si>
  <si>
    <t>Izmaksas par vienu klientu dienā 2019. gadā, euro</t>
  </si>
  <si>
    <t xml:space="preserve">Kopējās vidējās izmaksas </t>
  </si>
  <si>
    <t>Vidējās izmaksas 2019. gadā, euro</t>
  </si>
  <si>
    <t>Izdevumu pozīcijas  no nr.2-nr.12, izņemot nr.9, kopā</t>
  </si>
  <si>
    <t>Veselības apdrošināšanas izmaksas (aprēķins 7.2.3.pielikumā)</t>
  </si>
  <si>
    <t>Supervīziju izmaksas (aprēķins 7.2.4.pielikumā)</t>
  </si>
  <si>
    <t>Ar pakalpojuma  administrēšanu, prasību nodrošināšanu un klientu uzturēšanu saistītās izmaksas kopā</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</si>
  <si>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7.2.1.pielikumu).</t>
  </si>
  <si>
    <t>** Darba devēja apmaksātie veselības izdevumi aprēķināti 7.2.3.pielikumā.</t>
  </si>
  <si>
    <t>7.2.3. pielikums</t>
  </si>
  <si>
    <t>Veselības apdrošināšanas izmaksu aprēķins DAC strādājošajiem</t>
  </si>
  <si>
    <t>Pakalpojumi/speciālisti</t>
  </si>
  <si>
    <t xml:space="preserve">Bērnu skaits, kam plānots sniegt pakalpojumu </t>
  </si>
  <si>
    <t>Veselības apdrošināšanas izmaksas gadā, euro*</t>
  </si>
  <si>
    <t>Veselības apdrošināšanas izmaksas par 1 klientu gadā, euro</t>
  </si>
  <si>
    <t>Veselības apdrošināšanas izmaksas par 1 klientu dienā, euro</t>
  </si>
  <si>
    <t>6= 5/252 darba dienas gadā</t>
  </si>
  <si>
    <t>sociālais rehabilitētājs</t>
  </si>
  <si>
    <t>sociālais darbinieks</t>
  </si>
  <si>
    <t>sociālais aprūpētājs</t>
  </si>
  <si>
    <t>grāmatvedis</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</si>
  <si>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</si>
  <si>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7.2.4. pielikums</t>
  </si>
  <si>
    <t>Supervīzijas izmaksu aprēķins pakalpojumam "Dienas aprūpes centri"</t>
  </si>
  <si>
    <t>Vidējās supervīzijas izmaksas par darba stundu (visiem darbiniekiem)***</t>
  </si>
  <si>
    <t>Sociālā darba speciālisti ****</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</si>
  <si>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</si>
  <si>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 Vidējās supervīzijas izmaksas darba stundā aprēķinātas DAC deviņiem darbiniekiem, ņemot vērā, ka vienas vienības izmaksu standarta likmes aprēķinā pieņemts, ka pakalpojumu nodrošina visi darbinieki, izņemot grāmatvedi (grāmatvedis neveic tiešu darbu ar klientu).</t>
  </si>
  <si>
    <t>**** Sociālā darba speciālisti - sociālais darbinieks, sociālais rehabilitētājs un  sociālais aprūpētājs.</t>
  </si>
  <si>
    <t>7.2.5. pielikums</t>
  </si>
  <si>
    <t>Informācija par sociālo pakalpojumu sniedzējiem, kuru sniegtā informācija tika analizēta veidojot pakalpojuma "Dienas aprūpes centri personām, t.sk. bērniem, ar funkcionāliem traucējumiem" izmaksas</t>
  </si>
  <si>
    <t xml:space="preserve"> Informācija tika pieprasīta elektroniski un pa telefonu. Vienas vienības standarta likmes aprēķinā izmantoti dati no dienas aprūpes centra pakalpojumu sniedzējiem, kuri atsaucās aicinājumam sniegt pieprasīto informāciju, t.sk.,:
1) Rīgas plānošanas reģions – Biedrība "Rehabilitācijas centrs DAC "Mēs esam līdzās"" Rīgā; Rīgas 3.speciālās pamatskolas DAC "Torņkalna rūķi"" Rīgā; Biedrība "Svētā Jāņa palīdzība DAC "Saulessvece" Rīgā.
2) Zemgales plānošanas reģions – pašvaldību iestādes "Jelgavas sociālo lietu pārvalde" 2 DAC Jelgavā.
3) Kurzemes plānošanas reģions –  Liepājas pilsētas domes Sociālā dienesta DAC Liepājā.                                                                                                 4) Latgales plānošanas reģions -  Rēzeknes pilsētas Sociālā dienesta DAC Rēzeknē.</t>
  </si>
  <si>
    <t>7.3.1. pielikums</t>
  </si>
  <si>
    <t>Izmaksas                         1 klientam                dienā</t>
  </si>
  <si>
    <t>Atlīdzība (darba samaksa + VSAOI (DD soc. nod.)): darba alga speciālistiem un apkalpojošajam personālam, kas nodrošina pakalpojuma sniegšanu, ieskaitot VSAOI, sociālās garantijas un atvaļinājums.</t>
  </si>
  <si>
    <t xml:space="preserve">Darbu vadītājs  (8 stundas darba dienā) </t>
  </si>
  <si>
    <t>Sociālais rehabilitētājs (4 stundas darba dienā)</t>
  </si>
  <si>
    <t xml:space="preserve">Sociālais darbinieks  (4 stundas darba dienā) </t>
  </si>
  <si>
    <t>Darbnīcas vadītājs</t>
  </si>
  <si>
    <t>Grāmatvedis</t>
  </si>
  <si>
    <t>Aprēķins 7.3.2.pielikumā</t>
  </si>
  <si>
    <t>Pakalpojuma izmaksas: 1)  kancelejas un biroja preces,  2) saimniecības un higiēnas preces,  3) transportas (degviela, īre, apkope, adrošināšana u.c.),   4) telpu īres izmaksas, komunālie pakalpojumi (apkure, ūdens un kanalizācija, elektrība, gāze, atkritumu izvešana) un uzturēšanas pakalpojumi (apdrošināšana, signalizācijas sistēmu uzstādīšana, remontdarbu pakalpojumi),  5) inventārs un iekārti iegādes izmaksas, 6) darbinieku izglītības izdevumi, 7) sakaru pakalpojumi, 8) darba devēja apmaksātie veselības apdrošināšanas izdevumi, 9) supervīziju izdevumi,   10) ar pakalpojuma administrēšanau saistītie izdevumi.</t>
  </si>
  <si>
    <t>7.3.2.. pielikums</t>
  </si>
  <si>
    <t>Pakalpojuma "Specializētās darbnīcas"  pakalpojuma sniedzēju iesniegto izmaksu apkopojums un vidējo izmaksu aprēķins</t>
  </si>
  <si>
    <t xml:space="preserve">Kopējās vidējās izmaksas, euro </t>
  </si>
  <si>
    <t>SD1</t>
  </si>
  <si>
    <t>SD2</t>
  </si>
  <si>
    <t>SD3</t>
  </si>
  <si>
    <t>SD4</t>
  </si>
  <si>
    <t>SD5</t>
  </si>
  <si>
    <t>SD6</t>
  </si>
  <si>
    <t>SD7</t>
  </si>
  <si>
    <t>SD8</t>
  </si>
  <si>
    <t>Vidējās izmaksas 2017.gadā</t>
  </si>
  <si>
    <t>Vidējās izmaksas 2018.gadā</t>
  </si>
  <si>
    <t>Vidējās izmaksas 2019.gadā</t>
  </si>
  <si>
    <t>Kancelejas un biroja preces</t>
  </si>
  <si>
    <t>Saimnieciskie pamatlīdzekļi</t>
  </si>
  <si>
    <t>Inventārs, iekārtu remonts (materiāli un pakalpojums)</t>
  </si>
  <si>
    <t>Speciālizēto darbnīcu iekārtu izmaksas</t>
  </si>
  <si>
    <t>Informācija iegūta no pašvaldībām un pašvaldību pakalpojumu sniedzējiem.</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</si>
  <si>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7.3.1. pielikumu).</t>
  </si>
  <si>
    <t>** Darba devēja apmaksātie veselības izdevumi - netiek ielikti aprēķinā, jo tiek aprēķināti atseviški Iskat.7.3.3.pielikumā.</t>
  </si>
  <si>
    <t>7.3.3. pielikums</t>
  </si>
  <si>
    <t>Darbinieku veselības apdrošināšanas izmaksu aprēķins  pakalpojumam "Specializētās darbnīcas"</t>
  </si>
  <si>
    <t xml:space="preserve">Klientu skaits, kam plānots sniegt pakalpojumu </t>
  </si>
  <si>
    <t>Veselības apdrošināšanas izmaksas par 1 klientu gadā,  euro</t>
  </si>
  <si>
    <r>
      <t>6= 5/252 darba dienas</t>
    </r>
    <r>
      <rPr>
        <sz val="11"/>
        <color indexed="8"/>
        <rFont val="Times New Roman"/>
        <family val="1"/>
        <charset val="186"/>
      </rPr>
      <t xml:space="preserve"> gadā</t>
    </r>
  </si>
  <si>
    <t xml:space="preserve">Pakalpojums "Specializētā darbnīca"  </t>
  </si>
  <si>
    <t>darbu vadītājs un sociālais rehabilitētājs</t>
  </si>
  <si>
    <t>darbnīcas vadītājs</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</si>
  <si>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</si>
  <si>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7.3.4.. pielikums</t>
  </si>
  <si>
    <t>Speciālo darbnīcu iekārtu izmaksu aprēķins</t>
  </si>
  <si>
    <t>Pakalpojuma sniedzējs/ izmaksas</t>
  </si>
  <si>
    <t>Specializēto darbnīcu iekārtu izmaksas, euro</t>
  </si>
  <si>
    <t xml:space="preserve">Biedrība "Rīgas pilsētas "Rūpju bērns"" </t>
  </si>
  <si>
    <t>Nodibinājums"Fonds Kopā"</t>
  </si>
  <si>
    <t>Biedrība "PINS"</t>
  </si>
  <si>
    <t>Izmaksas kopā</t>
  </si>
  <si>
    <t>Vidējās izmaksas par 1 pakalpojuma sniedzēju</t>
  </si>
  <si>
    <t>Iekārtu lietošanas laiks 10 gadi = 120 mēneši</t>
  </si>
  <si>
    <t>Vidējās izmaksas mēnesī par 1 pakalpojuma sniedzēju</t>
  </si>
  <si>
    <t>Vidējās izmaksas mēnesī par 16 klientiem</t>
  </si>
  <si>
    <t>Vidējās izmaksas dienā par 1 klientu</t>
  </si>
  <si>
    <t>7.3.5.. pielikums</t>
  </si>
  <si>
    <t>Supervīzijas izmaksu aprēķins pakalpojumam "Specializētās darbnīcas"</t>
  </si>
  <si>
    <t>7=5*6 darbinieki</t>
  </si>
  <si>
    <t>Sociālā darba speciālists***</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</si>
  <si>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</si>
  <si>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 Vidējās supervīzijas izmaksas darba stundā aprēķinātas četriem darbiniekiem, ņemot vērā, ka vienas vienības izmaksu standarta likmes aprēķinā pieņemts, ka pakalpojumu nodrošina četri darbinieki darbinieki, neieskaitot grāmatvedi (grāmatvedis neveic tiešu darbu ar klientu).</t>
  </si>
  <si>
    <t>7.3.6. pielikums</t>
  </si>
  <si>
    <t>Informācija par sociālo pakalpojumu sniedzējiem, kuru sniegtā informācija tika analizēta, veidojot pakalpojuma "Specializētās darbnīcas" grozu</t>
  </si>
  <si>
    <t xml:space="preserve">Informācija tika pieprasīta elektroniski un sazinoties pa telefonu. Vienas vienības standarta likmes aprēķinā izmantoti dati no specializēto darbnīcu pakalpojuma sniedzējiem, kuri atsaucās aicinājumam sniegt pieprasīto informāciju.                                    Informācija iegūta no 8 pakalpojumu sniedzējiem, t.sk.                                                                                                                      1) Rīgas plānošanas reģions – nodibinājuma "Fonds KOPĀ" 1 SD Rīgā, biedrības "Rīgas pilsētas Rūpju bērns" 1 SD Rīgā, biedrība "Svētā Jāņa palīdzība" 1 SD Rīgā; biedrības "PINS" 1 SD Rīgā; biedrības "Aicinājums Tev" 1 SD Siguldā;  biedrība "Inčukalna Invalīdu biedrība" 1SD Inčukalna novadā.                                                                                                                   2) Zemgales plānošanas reģions - Jelgavas pilsētas Sociālo lietu pārvaldes 1 SD Jelgavā.                                                                                     3) Latgales plānošanas reģions - VSIA Daugavpils psihoneiroloģiskās slimīcas 1SD Daugavpilī.
 </t>
  </si>
  <si>
    <t>Pielikuma Nr.</t>
  </si>
  <si>
    <t>7.4.1. pielikums</t>
  </si>
  <si>
    <t>Izmaksas mēnesī (par 1 bērnu)</t>
  </si>
  <si>
    <t>Izmaksas 1 bērnam diennaktī</t>
  </si>
  <si>
    <t xml:space="preserve"> Atlīdzība (darba samaksa + VSAOI (DD soc. nod.)): darba alga speciālistiem un apkalpojošajam personālam, kas nodrošina pakalpojuma sniegšanu, ieskaitot VSAOI, sociālās garantijas un atvaļinājums.</t>
  </si>
  <si>
    <t xml:space="preserve">Sociālais rehabilitētājs vai cits speciālists – nodarbību vadītājs </t>
  </si>
  <si>
    <t xml:space="preserve">Sociālais darbinieks  </t>
  </si>
  <si>
    <t xml:space="preserve">Sociālais aprūpētājs </t>
  </si>
  <si>
    <t xml:space="preserve">Aprūpētājs </t>
  </si>
  <si>
    <t xml:space="preserve">Aprūpētājs ( no 20:00-08:00) </t>
  </si>
  <si>
    <t>Ar pakalpojuma administrēšanu, prasību nodrošināšanu un klientu uzturēšanu saistītās izmaksas  kopā</t>
  </si>
  <si>
    <t>Aprēķins 7.4.2.pielikumā</t>
  </si>
  <si>
    <t xml:space="preserve">Pakalpojuma izmaksas: 1)  kancelejas un biroja preces; 2)  ēdināšanas izmaksas;  3) saimniecības un higiēnas preces, 4) transportas (degviela, īre, apkope, adrošināšana u.c.),;  4) telpu īres izmaksas, komunālie pakalpojumi (apkure, ūdens un kanalizācija, elektrība, gāze, atkritumu izvešana) un uzturēšanas pakalpojumi (apdrošināšana, signalizācijas sistēmu uzstādīšana, remontdarbu pakalpojumi); 5) inventārs;  6) darbinieku izglītības izdevumi; 7) sakaru pakalpojumi; 8) darba devēja apmaksātie veselības apdrošināšanas izdevumi; 9) supervīziju izdevumi; 10) ar pakalpojuma administrēšanu saistītie izdevumi.                                                               </t>
  </si>
  <si>
    <t>7.4.2.. pielikums</t>
  </si>
  <si>
    <t>Atelpas brīža pakalpojuma sniedzēju iesniegto izmaksu apkopojums par 2019.gadu  un vidējo izmaksu aprēķins</t>
  </si>
  <si>
    <t>N.p.k.</t>
  </si>
  <si>
    <t>Pakalpojuma sniedzējs</t>
  </si>
  <si>
    <t>%</t>
  </si>
  <si>
    <t>Summa</t>
  </si>
  <si>
    <t>AB1</t>
  </si>
  <si>
    <t>AB2</t>
  </si>
  <si>
    <t>AB3</t>
  </si>
  <si>
    <t>AB4</t>
  </si>
  <si>
    <t>AB5</t>
  </si>
  <si>
    <t>AB6</t>
  </si>
  <si>
    <t>Aprēķinātās vidējās izmaksas uz 1 bērnu diennaktī</t>
  </si>
  <si>
    <t>Atelpas brīža pakalpojuma pārējās nodrošināšanas izmaksas</t>
  </si>
  <si>
    <t>Darba devēja veselības izdevumi (aprēķins 7.4.3.pielikumā)</t>
  </si>
  <si>
    <t>Supervīzijas izmaksas (aprēķins 7.3.4.pielikumā)</t>
  </si>
  <si>
    <t>Ar pakalpojuma administrēšanu,  prasību nodrošināšanu un klientu uzturēšanu saistītās izmaksas  kopā</t>
  </si>
  <si>
    <t>7.4.3. pielikums</t>
  </si>
  <si>
    <t>Veselības apdrošināšanas izmaksu aprēķins atelpas brīža pakalpojuma institūcijā strādājošajiem</t>
  </si>
  <si>
    <t>Veselības apdrošināšanas izmaksas par 1 bērnu gadā, euro</t>
  </si>
  <si>
    <t>Veselības apdrošināšanas izmaksas par 1 bērnu diennaktī, euro</t>
  </si>
  <si>
    <t>6= 5/365 dienas gadā</t>
  </si>
  <si>
    <t>7.4.4. pielikums</t>
  </si>
  <si>
    <t>Supervīzijas izmaksu aprēķins atelpas brīža pakalpojumam institūcijā</t>
  </si>
  <si>
    <t>*** Vidējās supervīzijas izmaksas darba stundā aprēķinātas deviņiem darbiniekiem, ņemot vērā, ka vienas vienības izmaksu standarta likmes aprēķinā pieņemts, ka pakalpojumu nodrošina visi darbinieki.</t>
  </si>
  <si>
    <t>7.4.5. pielikums</t>
  </si>
  <si>
    <t>Informācija par sociālo pakalpojumu sniedzējiem, kuru sniegtā informācija tika analizēta veidojot atelpas brīža pakalpojuma institūcijā izmaksas</t>
  </si>
  <si>
    <t>Vienas vienības standarta likmes aprēķinā izmantoti dati no atelpas brīža pakalojuma institūcijā pakalpojumu sniedzējiem, kuri atsaucās aicinājumam sniegt pieprasīto informāciju, t.sk.,:
1) Rīgas plānošanas reģions – Bērnu klīniskā universitātes slimnīca Rīgā; biedrība "Cerību spārni" Siguldā.
2) Zemgales plānošanas reģions – Jelgavas novada sociālās aprūpes un rehabilitācijas centrs "Eleja" Jelgavas novadā.
3) Kurzemes plānošanas reģions –  Biedrība "Dižvanagi" Liepājā.                                                                                                                            4) Vidzemes plānošanas reģions -  Nodibinājums "Fonds iespēju tilts" Valmierā; biedrība "Labāka Rītdiena" Amatas novadā.</t>
  </si>
  <si>
    <t>7.5.1.pielikums</t>
  </si>
  <si>
    <t>Izmaksu pozīcija</t>
  </si>
  <si>
    <t>Cena, euro</t>
  </si>
  <si>
    <t>Stundu skaits</t>
  </si>
  <si>
    <r>
      <t xml:space="preserve">Izmaksas par vienu </t>
    </r>
    <r>
      <rPr>
        <b/>
        <sz val="10"/>
        <color indexed="8"/>
        <rFont val="Arial"/>
        <family val="1"/>
        <charset val="186"/>
      </rPr>
      <t>klientu, euro/h</t>
    </r>
  </si>
  <si>
    <t>Aprēķini/paskaidrojums</t>
  </si>
  <si>
    <t>Speciālista atlīdzība par konsultāciju/nodarbību vai individuālo atbalstu (konsultācija vai nodarbība 45 minūtes un 15 minūtes dokumentu kārtošana)</t>
  </si>
  <si>
    <t>Aprēķins 7.5.2.pielikumā</t>
  </si>
  <si>
    <t>Administrēšānas izmaksas 10%*</t>
  </si>
  <si>
    <t>32.60 euro/h * 10 % (adm. izmaksas) = 3.26 euro</t>
  </si>
  <si>
    <t>32.60 euro/h +  3.26  euro = 35.86 euro/h</t>
  </si>
  <si>
    <t xml:space="preserve">*  10 % administrēšanas izdevumi  – ņemot vērā to, ka deleģēto funkciju īstenotājiem (Sociālo pakalpojumu un sociālās palīdzības likuma 13. panta otro daļu 3 prim administrēšanas izdevumu segšanai tiek novirzīti līdz 10 % no šo pakalpojumu nodrošināšanai piešķirtajiem valsts budžeta līdzekļiem, asistenta pakalpojuma nodrošināšanai pašvaldībām 10 % tiek novirzīti administrēšanas izdevumu segšanai (Ministru kabineta  2012. gada 18. decembra noteikumu Nr. 942 "Kārtība, kādā piešķir un finansē asistenta pakalpojumu pašvaldībā" 4. punkts). Administrēšanas izdevumus pakalpojumu sniedzējs var novirzīt atalgojumam, komunālajiem pakalpojumuem un telpu īrei, sakaru pakalpojumiem, biroja un kancelejas precēm utt., respektīvi visiem izdevumiem, kas rodas, lai nodrošinātu attiecīgā pakalpojuma ieviešanu. </t>
  </si>
  <si>
    <t>7.5.2.pielikums</t>
  </si>
  <si>
    <t>Izmēģinājumprojektā sniegto speciālistu konsultāciju/nodarbību vidējās cenas aprēķins</t>
  </si>
  <si>
    <t>SBS pakalpojuma nosaukms</t>
  </si>
  <si>
    <t>Kopējās izmaksas par SBS pakalpojuma nodrosināšanu izmēginajumprojekta laikā, EUR</t>
  </si>
  <si>
    <t>Kopējais SBS pakalpojumu reižu skaits izmēginājumprojekta laikā</t>
  </si>
  <si>
    <t>Vidējās izmaksas par vienu SBS pakalpojuma reizi, EUR</t>
  </si>
  <si>
    <t>ABA terapijas speciālista nodarbība</t>
  </si>
  <si>
    <t>Alternatīvās un augmentatīvās komunikācijas speciālista nodarbība</t>
  </si>
  <si>
    <t>Kanisterapijas speciālista nodarbība</t>
  </si>
  <si>
    <t>Portridžas agrīnās korekcijas un audzināšanas programmas speciālista  nodarbība</t>
  </si>
  <si>
    <t>Psihologa konsultācija ģimenei</t>
  </si>
  <si>
    <t>Psihologa konsultācija</t>
  </si>
  <si>
    <t>Silto smilšu speciālista nodarbība</t>
  </si>
  <si>
    <t>Smilšu terapijas speciālista ndarbība</t>
  </si>
  <si>
    <t>Sociālā pedagoga nodarbība</t>
  </si>
  <si>
    <t xml:space="preserve">Theraplay terapijas speciālista nodarbība </t>
  </si>
  <si>
    <t>Tomatis terapijas speciālista ndarbība</t>
  </si>
  <si>
    <t xml:space="preserve">*Aprēķinā nav ņemtas vērā  izmaksas par speciālistu sniegtajiem SBS pakalpojumu kursiem, piemēram, ABA terapijas intensīvais kurss, specializētā sociālās rehabilitācijas un kompetenci veicinošo pasākumu apmācību kurss bērnam ar FT un vecākiem. </t>
  </si>
  <si>
    <t>7.6.pielikums</t>
  </si>
  <si>
    <t>Aprēķinu avots - pakalpojuma  "Sociālās rehabilitācijas pakalpojumi vardarbību veikušām pilngadīgām personām" faktiski sniegtā pakalpojuma rādītāji</t>
  </si>
  <si>
    <r>
      <t xml:space="preserve">1. Konsultācijas grupās (grupu terapija), izdevumi, </t>
    </r>
    <r>
      <rPr>
        <i/>
        <sz val="11"/>
        <color indexed="8"/>
        <rFont val="Calibri"/>
        <family val="2"/>
        <charset val="186"/>
      </rPr>
      <t>euro</t>
    </r>
  </si>
  <si>
    <t>Izdevumi par 1 nodarbību</t>
  </si>
  <si>
    <t>Izdevumi par 1klientu vienā nodarbībā</t>
  </si>
  <si>
    <t>Vidēji pārskata periodā</t>
  </si>
  <si>
    <t>2 speciālistu atlīdzība (ieskaitot DD soc.nod.) par nodarbību vadīšanu un sagatvošanos (vienas nodarbības ilgums 2 stundas, sagatavošanās nodarbībai - 1 stunda katram speciālistam)</t>
  </si>
  <si>
    <t>Sociālās rehabilitācijas pakalpojuma organizēšanas izmaksas (izdales materiālu kopēšana, kancelejas preces, sakaru pakalpojumi u.c.) maksimāli 3 euro/persona</t>
  </si>
  <si>
    <t>Transporta izdevumi klientiem*</t>
  </si>
  <si>
    <t>Transporta izdevumi speciālistiem</t>
  </si>
  <si>
    <t>Supervīzijas speciālistiem</t>
  </si>
  <si>
    <t>Pakalpojuma nodrošināšanas izmaksas kopā</t>
  </si>
  <si>
    <t>Pakalpojuma sniedzēja administrēšanas izdevumi 10%</t>
  </si>
  <si>
    <t>2. Konsultācijas grupās (grupu terapija), izpildes rādītāji</t>
  </si>
  <si>
    <t>Grupu skaits periodā</t>
  </si>
  <si>
    <t>Nodarbību skaits</t>
  </si>
  <si>
    <t>Pakalpojumu saņēmušo personu skaits</t>
  </si>
  <si>
    <t>Klientu vietu aizpildījums nodarbībās*</t>
  </si>
  <si>
    <t>Vidējais kklientu skaits vienā grupā</t>
  </si>
  <si>
    <t>Vidējais personu skaits vienā grupu nodarbībā</t>
  </si>
  <si>
    <t>*piemēram, vienai grupai ir 16 nodarbības, uz 15 nodarbībām ir bijuši 12 klienti, bet uz 1 nodarbību tikai 7, kopā klientu vietu aizpildījums šajai grupai ir (12*15)+(7*1) = 187. Šis rādītājs jānorāda par perioda visām grupām kopā.</t>
  </si>
  <si>
    <t>3. Konsultācijas grupās (grupu terapija), izpildes rādītāji/ vidējie izdevumi uz 1 grupu, 1 nodarbību/ 1 klientu, euro</t>
  </si>
  <si>
    <t>rādītājs</t>
  </si>
  <si>
    <t>Izdevumi par 1 klientu vienā nodarbībā</t>
  </si>
  <si>
    <t>Izdevumi par 1 klientu vienā nodarbībā                                                                                                                                                                                                            periodā 2017.gads - 2019.gads</t>
  </si>
  <si>
    <t xml:space="preserve">* 3.pozīcija tiek ņemta ārā, jo transporta izdevumi klientiem tiek pieškirti atsevišķi, neatkarīgi no konkrētā SBS pakalpojuma. </t>
  </si>
  <si>
    <t>7.7.pielikums</t>
  </si>
  <si>
    <r>
      <t xml:space="preserve">Izmaksas par vienu </t>
    </r>
    <r>
      <rPr>
        <b/>
        <sz val="10"/>
        <color indexed="8"/>
        <rFont val="Times New Roman"/>
        <family val="1"/>
        <charset val="186"/>
      </rPr>
      <t>klientu, euro/h</t>
    </r>
  </si>
  <si>
    <t>Aprēķini</t>
  </si>
  <si>
    <t>Universālā asistenta atlīdzība</t>
  </si>
  <si>
    <t xml:space="preserve">Administrēšānas izmaksas 10% </t>
  </si>
  <si>
    <t xml:space="preserve">10 % administrēšanas izdevumi  – ņemot vērā to, ka deleģēto funkciju īstenotājiem (Sociālo pakalpojumu un sociālās palīdzības likuma 13. panta otro daļu 3 prim administrēšanas izdevumu segšanai tiek novirzīti līdz 10 % no šo pakalpojumu nodrošināšanai piešķirtajiem valsts budžeta līdzekļiem, universālā asistenta pakalpojuma nodrošināšanai pašvaldībām 10 % tiek novirzīti administrēšanas izdevumu segšanai (Ministru kabineta  2012. gada 18. decembra noteikumu Nr. 942 "Kārtība, kādā piešķir un finansē asistenta pakalpojumu pašvaldībā" 4. punkts). Administrēšanas izdevumus pakalpojumu sniedzējs var novirzīt atalgojumam, komunālajiem pakalpojumuem un telpu īrei, sakaru pakalpojumiem, biroja un kancelejas precēm utt., respektīvi visiem izdevumiem, kas rodas, lai nodrošinātu attiecīgā pakalpojuma ieviešanu. </t>
  </si>
  <si>
    <t>ATPAKAĻ uz SATURU</t>
  </si>
  <si>
    <t xml:space="preserve">1244 euro mēnesī x 12 mēneši= 14 928.00 euro gadā / 11 mēneši = 1357.09  euro mēnesī / 4 bērni = 339.27 euro/mēn.vienam bērnam/ 30 dienas = 11.31 euro  x 0.18 slodzes = 2.04 euro dienā, t.sk., atlīdzība speciālistam 2.04  euro un uzkrājums atvaļinājumiem 0.17 euro. </t>
  </si>
  <si>
    <t>Sociālais darbinieks saskaņā ar MK 30.11.2010. noteikumiem Nr. 1075 klasificējas 39.saimē, IIIA līmenī.
Sociālajam darbiniekam saskaņā ar MK 29.01.2013. noteikumu Nr. 66 2. pielikumu piemērojama – 8. mēnešalgu grupa 3. maksimālā kateogorija. 
Sociālajam darbiniekam atalgojums mēnesī:
1) 1093 euro + 273.25 eur (25%) = 1366.25 euro                                                           2) 1366.25 euro * 329.13 euro (24.09 %  - DD soc. nod.) = 1695.38 euro/mēn.                                                                           3) 1695.38  euro//20 bērni / 21 darba diena = 4.04 euro x 1 slodzes = 4.04  euro/dienā.</t>
  </si>
  <si>
    <t xml:space="preserve">1244 euro mēnesī x 12 mēneši= 14 928.00 euro gadā / 11 mēneši = 1357.09  euro mēnesī / 20 bērni/ 21 darba diena = 3.23 euro  x 2 slodzes = 6.46 euro dienā, t.sk., atlīdzība speciālistam 5.92  euro un uzkrājums atvaļinājumiem 0.54 euro. </t>
  </si>
  <si>
    <t>Sociālais aprūpētājs saskaņā ar MK 30.11.2010. noteikumiem Nr. 1075 klasificējas 39.saimē, IIB līmenī.
MK 29.01.2013. noteikumu Nr. 66 2. pielikums – 5 mēnešalgu grupa 3 maksimālā kateogorija. Sociālajam aprūpētājam atalgojums mēnesī:
1) 802 euro + 200.50 eur (25%) = 1002.50 euro                                                           2) 1002.50 euro * 241.50 euro (24.09 %  - DD soc. nod.) = 1244 euro/mēn.                                                      3) 1244  euro//20 bērni / 21 darba diena = 2.96  euro x 2 slodzes = 5.92  euro/dienā.</t>
  </si>
  <si>
    <t>Izmaksas mēnesī               (par 1 klientu)</t>
  </si>
  <si>
    <t xml:space="preserve">1695.38 euro mēnesī x 12 mēneši= 20 344.56 euro gadā / 11 mēneši = 1849.51  euro mēnesī / 16 klienti / 21 darba diena = 5.50 euro  x 0.5 slodzes = 2.75 euro dienā, t.sk., atlīdzība speciālistam 2.53 euro un uzkrājums atvaļinājumiem 0.22 euro. </t>
  </si>
  <si>
    <t>Izmaksas mēnesī (par 1 klientu)</t>
  </si>
  <si>
    <t>7.15 euro/h * 10 % (adm. izmaksas) = 0.72 euro</t>
  </si>
  <si>
    <t>7.15 euro/h + 0.72 euro = 7.87 euro/h</t>
  </si>
  <si>
    <r>
      <t xml:space="preserve">*** Darba devēja </t>
    </r>
    <r>
      <rPr>
        <sz val="11"/>
        <color rgb="FFFF0000"/>
        <rFont val="Times New Roman"/>
        <family val="1"/>
        <charset val="186"/>
      </rPr>
      <t>apmaksātie</t>
    </r>
    <r>
      <rPr>
        <sz val="11"/>
        <color theme="1"/>
        <rFont val="Times New Roman"/>
        <family val="1"/>
        <charset val="186"/>
      </rPr>
      <t xml:space="preserve"> veselības izdevumi - tiek aprēķināti atsevišķi.</t>
    </r>
  </si>
  <si>
    <t>Pakalpojuma izmaksas:1) kancelejas un biroja preces,   2) saimniecības un higiēnas preces, 3) transportas (degviela, īre, apkope, adrošināšana u.c.),  4 )  telpu īres izmaksas, komunālie pakalpojumi (apkure, ūdens un kanalizācija, elektrība, gāze, atkritumu izvešana) un uzturēšanas pakalpojumi (apdrošināšana, signalizācijas sistēmu uzstādīšana, remontdarbu pakalpojumi),  5) inventārs,  6) darbinieku izglītības izdevumi, 7) sakaru pakalpojumi,  8) darba devēja apmaksātie veselības apdrošināšanas izdevumi, 9) supervīziju izdevumi, 10) ar pakalpojuma administrēšanau saistītie izdevumi.</t>
  </si>
  <si>
    <t xml:space="preserve">1244 euro mēnesī x 12 mēneši= 14 928.00 euro gadā / 11 mēneši = 1357.09  euro mēnesī / 16 klienti/ 21 darba diena = 4.04 euro  x 0.5 slodzes = 2.02 euro dienā, t.sk., atlīdzība speciālistam 1.85 euro un uzkrājums atvaļinājumiem 0.17 euro (2.02 euro - 1.85 euro). </t>
  </si>
  <si>
    <t xml:space="preserve">1093.54 euro mēnesī x 12 mēneši= 13 122.48 euro gadā / 11 mēneši = 1192.95 euro mēnesī / 166.8 stundas = 7.15 euro stundā, t.sk., atlīdzība speciālistam 6.56 euro un uzkrājums atvaļinājumiem 0.59 euro (7.15 euro - 6.56 euro). </t>
  </si>
  <si>
    <t xml:space="preserve">943.09 euro mēnesī x 12 mēneši= 11 317.08 euro gadā / 11 mēneši = 1028.83 euro mēnesī / 21 darba diena/8 stundas = 6.12 euro stundā, t.sk., atlīdzība speciālistam 5.61 euro un uzkrājums atvaļinājumiem  0.51 euro (6.12 euro - 5.61 euro). </t>
  </si>
  <si>
    <t>Aprūpētājs saskaņā ar MK 30.11.2010. noteikumiem Nr. 1075 klasificējas 39.saimē, I līmenī. 
Aprūpētājam saskaņā MK 29.01.2013. noteikumu Nr. 66 2. pielikumu attiecināma – 3. mēnešalgu grupa 3. kategorija.
Aprūpētāja atalgojums mēnesī:
1) 608 euro +  146,47 euro (VSAOI 24.09 % )= 754.47 euro/mēn.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2) 754.47 euro/mēn. + 188,62 euro/mēn. (piemaksa 25 %) = 943.09 euro/mēn.                           
3) 943.09 euro / 21 darba diena / 8 h = 5.61 euro/h.</t>
  </si>
  <si>
    <t xml:space="preserve">995.20 euro mēnesī x 12 mēneši=   11 942.40 euro gadā / 11 mēneši = 1085.67 euro mēnesī /400 klienti/ 21 darba diena/8 stundas = 0.02 euro stundā, t.sk., atlīdzība speciālistam 0.01 euro un uzkrājums atvaļinājumiem 0.01 euro (0.02 euro - 0.01 euro). </t>
  </si>
  <si>
    <t>Aprūpētāju darba koordinātors tiek pielīdzināts sociālajam aprūpētājam, kas saskaņā ar MK 30.11.2010. noteikumiem Nr. 1075 klasificējas 39.saimē, IIB līmenī.
Aprūpētāju darba koordinātoram saskaņā ar MK 29.01.2013. noteikumu Nr. 66 2. pielikumu attiecināma – 5. mēnešalgu grupa 3. kategorija. Sociālajam aprūpētajam atalgojums mēnesī: 
1) 802 euro + 193.20 euro (VSAOI 24.09 %)  = 995.20 euro/mēn.                     2) 995.20 euro / 400 klienti / 21 darba diena / 8 h = 0.01 euro/h</t>
  </si>
  <si>
    <t xml:space="preserve">1244 euro mēnesī x 12 mēneši= 14 928.00 euro gadā / 11 mēneši = 1357.09  euro mēnesī / 16 klient/ 21 darba diena = 4.04 euro  x 1 slodzes = 4.04 euro dienā, t.sk., atlīdzība speciālistam 3.70  euro un uzkrājums atvaļinājumiem 0.34 euro (4.04 euro - 3.70 euro). </t>
  </si>
  <si>
    <t>Darbu vadītājs tiek pielīdzināts sociālajam rehabilitētājam, kas saskaņā ar MK 30.11.2010. noteikumiem Nr. 1075 klasificējas 39.saimē, IIB līmenī.  
Darba vadītājam saskaņā ar MK 29.01.2013. noteikumu Nr. 66 2. pielikumu attiecināma – 5. mēnešalgu grupa 3. maksimālā kateogorija. 
Sociālā rehabilitētāja atalgojums:
1) 802 euro + 200.50 eur (piemaksa 25%) = 1002.50 euro                                                           2) 1002.50 euro * 241.50 euro (VSAOI 24.09 %)  = 1244 euro/mēn.                                                                               
3) 1244  euro//16 klienti / 21 darba diena = 3.70 euro x 1 slodzes = 3.70 euro/dienā</t>
  </si>
  <si>
    <t>Sociālais rehabilitētājs saskaņā ar MK 30.11.2010. noteikumiem Nr. 1075 klasificējas 39.saimē, IIB līmenī.
Sociālajam rehabilitētājam saskaņā ar MK 29.01.2013. noteikumu Nr. 66 2. pielikumu attiecināma  – 5. mēnešalgu grupa 3. maksimālā kateogorija. 
Sociālā rehabilitētāja atalgojums:
1) 802 euro + 200.50 eur (piemaksa 25%) = 1002.50 euro                                                           2) 1002.50 euro * 241.50 euro (VSAOI 24.09 %) = 1244 euro/mēn.                                                                                
 3) 1244  euro//16 klienti / 21 darba diena = 3.70 euro x 0.5 slodzes = 1.85 euro/dienā</t>
  </si>
  <si>
    <t>Sociālais darbinieks saskaņā ar MK 30.11.2010. noteikumiem Nr. 1075 klasificējas 39.saimē, IIIA līmenī.
Sociālajam darbiniekam saskaņā ar MK 29.01.2013. noteikumu Nr. 66 2. pielikumu attiecināma – 8. mēnešalgu grupa 3. maksimālā kateogorija. 
Sociālajam darbiniekam atalgojums mēnesī:
1) 1093 euro + 273.25 eur (piemaksa 25%) = 1366.25 euro                                                           2) 1366.25 euro * 329.13 euro (VSAOI 24.09 %)   = 1695.38 euro/mēn.                                                                                    3) 1695.38  euro//16 klienti / 21 darba diena = 5.05 euro x 0.5 slodzes = 2.53 euro/dienā</t>
  </si>
  <si>
    <t xml:space="preserve">1996.30 euro mēnesī x 12 mēneši= 23 955.60 euro gadā / 11 mēneši = 2177.78  euro mēnesī / 16 klienti  / 21 darba diena = 6.48 euro  x 0.5 slodzes = 3.24 euro dienā, t.sk., atlīdzība speciālistam 2.97 euro un uzkrājums atvaļinājumiem 0.27 euro (3.24 euro - 2.97 euro). </t>
  </si>
  <si>
    <r>
      <t xml:space="preserve">Darbnīcas vadītājs saskaņā ar MK 30.11.2010. noteikumiem Nr. 1075 klasificējas 23.saimē, IV līmenī.
Darbnīcas vadītājam saskaņā ar MK 29.01.2013. noteikumu Nr. 66 2. pielikumu attiecināma – 10. mēnešalgu grupa 3. maksimālā kateogorija. 
Darbnīcas  vadītāja atalgojums:
1) 1287 euro + 321.75 (piemaksa 25%) = 1608.75 euro                                                              2) 1608.75 euro + 387.55 (VSAOI 24.09 % ) = 1996.30  euro/mēn.                                                                                            3) 1996.30  euro//16 klienti / 21 darba diena = 5.94 euro x 0.5 slodzes = 2.97 euro/dienā
</t>
    </r>
    <r>
      <rPr>
        <b/>
        <sz val="11"/>
        <color theme="1"/>
        <rFont val="Times New Roman"/>
        <family val="1"/>
        <charset val="186"/>
      </rPr>
      <t/>
    </r>
  </si>
  <si>
    <t xml:space="preserve">1476.67 euro mēnesī x 12 mēneši=17 720.04 euro gadā / 11 mēneši = 1610.91  euro mēnesī / 16 klienti /  21 darba diena = 4.79 euro  x 0.2 slodzes = 0.96 euro dienā, t.sk., atlīdzība speciālistam 0.88 euro un uzkrājums atvaļinājumiem 0.08 euro (0.96  euro - 0.88 euro). </t>
  </si>
  <si>
    <t xml:space="preserve">Vecākais grāmatvedis saskaņā ar MK 30.11.2010. noteikumiem Nr. 1075 klasificējas 14.saimē, IIIA līmenī.
Veccākajam grāmatvedim saskaņā ar MK 29.01.2013. noteikumu Nr. 66 2. pielikumu attiecināma – 9. mēnešalgu grupa 3. maksimālā kateogorija. 
Vecākā grāmatveža atalgojums:
1) 1190 euro + 286.67 euro (VSAOI 24.09 %)   = 1476.67 euro/mēn. 
2) 1476.67  euro/ 6 klienti / 21 darba diena = 4.40 euro x 0.2 slodzes = 0.88 euro/dienā
</t>
  </si>
  <si>
    <r>
      <rPr>
        <sz val="11"/>
        <rFont val="Times New Roman"/>
        <family val="1"/>
        <charset val="186"/>
      </rPr>
      <t xml:space="preserve">Papildus DAC vadītājam saskaņā ar MK 29.01.2013. noteikumu Nr. 66 31. punktu tiek maksāta piemaksa līdz 25 % apmērā no mēneša atalgojuma (jo amata pienākumi tiek pielīdzināti sociālā darbinieka darbam ilgstošas sociālās aprūpes un sociālās rehabilitācijas iestādē  bērniem ar smagiem garīgās attīstības traucējumiem).     </t>
    </r>
    <r>
      <rPr>
        <sz val="11"/>
        <color theme="1"/>
        <rFont val="Times New Roman"/>
        <family val="1"/>
        <charset val="186"/>
      </rPr>
      <t xml:space="preserve">           Pienākumi: Vadīt struktūrvienības darbu, pārraudzīt citu darbinieku darbu, iesaistīties sarežģītu problēmu risināšanā.</t>
    </r>
  </si>
  <si>
    <t xml:space="preserve">1244 euro mēnesī x 12 mēneši= 14 928.00 euro gadā / 11 mēneši = 1357.09  euro mēnesī / 20 bērni/ 21 darba diena = 3.23 euro  x 3 slodzes = 9.69 euro dienā, t.sk., atlīdzība speciālistam 8.8  euro un uzkrājums atvaļinājumiem 0.81 euro (9.69 euro - 8.88 euro). </t>
  </si>
  <si>
    <t xml:space="preserve">1695.38  euro mēnesī x 12 mēneši= 20 344.56  euro gadā / 11 mēneši = 1 849.51  euro mēnesī / 20 bērni/ 21 darba diena/ = 4.40 euro  x 1 slodzes = 4.40  euro dienā, t.sk., atlīdzība speciālistam 4.04  euro un uzkrājums atvaļinājumiem 0.36 euro (4.40 euro - 4.04 euro) . </t>
  </si>
  <si>
    <t xml:space="preserve">943.08 euro mēnesī x 12 mēneši= 11 316.96 euro gadā / 11 mēneši = 1028.82  euro mēnesī / 20 bērni/ 21 darba diena = 2.45 euro  x 2 slodzes = 4.90 euro dienā, t.sk., atlīdzība speciālistam 4.50  euro un uzkrājums atvaļinājumiem 0.40 euro (4.90 euro - 4.50 euro). </t>
  </si>
  <si>
    <t>Aprūpētājs saskaņā ar MK 30.11.2010. noteikumiem Nr. 1075 klasificējas 39.saimē, I līmenī. 
Aprūpētājam saskaņā ar MK 29.01.2013. noteikumu Nr. 66 2.pielikumu attiecināma – 3. mēnešalgu grupa 3. maksimālā kateogorija. 
Aprūpētāja atalgojums:
1) 608 euro + 152 eur (piemaksa 25%) = 760 euro                                                           2) 760 euro * 183.08  euro (VSAOI 24.09 % ) = 943.08 euro/mēn.                                                      
3) 943.08  euro//20 bērni / 21 darba diena = 2.25  euro x 2 slodzes = 4.50  euro/dienā.</t>
  </si>
  <si>
    <t xml:space="preserve">1996.30  euro mēnesī x 12 mēneši= 23 955.60  euro gadā / 11 mēneši = 2177.78  euro mēnesī / 20 bērni/ 21 darba diena/ = 5.19  euro  x 0.5 slodzes = 2.59  euro dienā, t.sk., atlīdzība speciālistam 2.38  euro un uzkrājums atvaļinājumiem 0.21 euro (2.59 euro - 2.38 euro). </t>
  </si>
  <si>
    <t xml:space="preserve">1476.67  euro mēnesī x 12 mēneši= 17 720.04  euro gadā / 11 mēneši = 1610.91  euro mēnesī / 20 bērni/ 21 darba diena/ = 3.84 euro  x 0.2 slodzes = 0.77  euro dienā, t.sk., atlīdzība speciālistam 0.70  euro un uzkrājums atvaļinājumiem 0.07 euro (0.77 euro - 0.70 euro). </t>
  </si>
  <si>
    <t>Vecākais grāmatvedis saskaņā ar MK 30.11.2010. noteikumiem Nr. 1075 klasificējas 14. saimē, IIIA līmenī.
Vecākajam grāmtvedim saskaņā ar MK 29.01.2013. noteikumu Nr. 66 2. pielikumu attiecināma – 9. mēnešalgu grupa 3. maksimālā kateogorija. 
Vecākā grāmatveža atalgojums:
1) 1190 euro +  286.67 euro (VSAOI 24.09 %)  =  1476.67  euro/mēn. 
 2) 1476.67  euro//20 bērni / 21 darba diena = 3.52  euro x 0.2 slodzes = 0.70  euro/dienā.</t>
  </si>
  <si>
    <t>DAC vadītājs saskaņā ar MK 30.11.2010. noteikumiem Nr. 1075 klasificējas 23.saimē, IV līmenī.
DAC vadītājam saskaņā ar MK 29.01.2013. noteikumu Nr. 66 2. pielikumu attiecināma – 10. mēnešalgu grupa 3. maksimālā kateogorija. 
DAC vadītāja atalgojums:
1) 1287 euro +321.75 (piemaksa 25%) = 1608.75 euro/mēn.                                                                                           2) 1608.75 euro + 387.55 euro (VSOI 24.09 %) = 1996.30 euro/mēn.                                              3)1996.30  euro//20 bērni / 21 darba diena = 4.75  euro x 0.5 slodzes = 2.38  euro/dienā.</t>
  </si>
  <si>
    <t>Sociālais rehabilitētājs saskaņā ar MK 30.11.2010. noteikumiem Nr. 1075 klasificējas 39.saimē, IIB līmenī. 
Sociālā rehabilitētājam saskaņā ar MK 29.01.2013. noteikumu Nr. 66 2. pielikumu piemērojama – 5. mēnešalgu grupa 3. maksimālā kateogorija.                                             Papildus sociālajam rehabilitētājam saskaņā ar MK 29.01.2013. noteikumu Nr. 66 31. punktu tiek maksāta piemaksa līdz 25 % apmērā no mēneša atalgojuma (jo amata pienākumi tiek pielīdzināti sociālā rehabilitētāja darbam ilgstošas sociālās aprūpes un sociālās rehabilitācijas iestādē  bērniem ar smagiem garīgās attīstības traucējumiem). 
Sociālā rehabilitētāja atalgojums:
1) 802 euro + 200.50 eur (piemaksa 25%) = 1002.50 euro                                                                                                          2) 1002.50 euro * 241.50 euro (VSAOI 24.09 %)   = 1244 euro/mēn.                                                                   
 3) 1244  euro//20 bērni / 21 darba diena = 2.96  euro x 3 slodzes = 8.88  euro/dienā.</t>
  </si>
  <si>
    <r>
      <rPr>
        <sz val="11"/>
        <rFont val="Times New Roman"/>
        <family val="1"/>
        <charset val="186"/>
      </rPr>
      <t xml:space="preserve">Papildus aprūpētājam saskaņā ar MK 29.01.2013. noteikumu Nr. 66 31. punktu tiek maksāta piemaksa līdz 25 % apmērā no mēneša atalgojuma (jo amata pienākumi tiek pielīdzināti aprūpētāja darbam ilgstošas sociālās aprūpes un sociālās rehabilitācijas iestādē  bērniem ar smagiem garīgās attīstības traucējumiem). </t>
    </r>
    <r>
      <rPr>
        <sz val="11"/>
        <color theme="5" tint="0.39997558519241921"/>
        <rFont val="Times New Roman"/>
        <family val="1"/>
        <charset val="186"/>
      </rPr>
      <t xml:space="preserve">                                  </t>
    </r>
    <r>
      <rPr>
        <sz val="11"/>
        <color theme="1"/>
        <rFont val="Times New Roman"/>
        <family val="1"/>
        <charset val="186"/>
      </rPr>
      <t xml:space="preserve">                                                                         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r>
  </si>
  <si>
    <t>Pienākumi:  1) gatavot pārskatus grāmatvedības jomā, veikt tiem nepieciešamos aprēķinus; 2) piedalīties gada un ceturkšņa pārskatu sastādīšanā; 3) veikt pilnu grāmatvedības uzskaiti iestādē/struktūrvienībā.</t>
  </si>
  <si>
    <t>Papildus sociālajam darbiniekam saskaņā ar MK 29.01.2013. noteikumu Nr. 66 31. punktu tiek maksāta piemaksa līdz 25 % apmērā no mēneša atalgojuma (jo amata pienākumi tiek pielīdzināti sociālā darbinieka darbam ilgstošas sociālās aprūpes un sociālās rehabilitācijas iestādē  bērniem ar smagiem garīgās attīstības traucējumiem). 
Pienākumi: 1) vadīt bērna sociālo problēmu risināšanu, piesaistot nepieciešamos speciālistus; 2) strādāt ar bērnu individuāli vai grupā, lai  identificētu sociālo problēmu un noteiktu atbalsta veidus; 3) analizēt bērna sociālo problēmu un palīdzēt rast problēmu risinājuma iespējas; 4) nodrošināt bērna sociālā atbalsta tīkla veidošanu; 5) strādāt ar grupu, lai palīdzētu bērnam attīstīt nepieciešamās prasmes; 6) aizstāvēt bērnu intereses un tiesības; 7) veidot sadarbību ar citām institūcijām.</t>
  </si>
  <si>
    <t>Speciālisti tiek piesaistīti atbilstoši iespējām un konkrētajiem pieejamajiem cilvēkresursiem pašvaldībā, kurā tiek izveidots DAC, un, ja pašvaldībā nav pieejams sociālais rehabilitētājs, tad var piesaistīt citu sociāla darba speciālistu, piemēram, sociālo darbinieku.
Sociālajam rehabilitētājam ir jābūt nodrošinātai vismaz 0.5 slodzei, ar atlikušo slodžu sadali DAC var variēt, piesaistot citus speciālistus nodarbību vadīšanai, lai nodrošinātu daudzveidīgas nodarbības, atbilstoši klientu vajadzībām un interesēm (pašaprūpes prasmju apgūšana, produktivitātes attīstīšana, radošās darbnīcas, dažādu terapiju nodarbības,brīvā laika organizēšana utt).
Pienākumi: 1) ievākt informāciju par bērna vajadzībām un novērtēt viņa sociālās iemaņas; 2) organizēt un vadīt nodarbības sociālo iemaņu un funkcionēšanas spēju attīstībai; 3) novērtēt, kā mainās bērna sociālā funkcionēšana, un attiecīgi sniegt rekomendācijas sociālās rehabilitācijas pakalpojumu apjoma un satura maiņai; 4) palīdzēt sociālajam darbiniekam sadarbībā ar citiem speciālistiem īstenot bērnu individuālos atbalsta plānus; 5) palīdzēt bērnam uzlabot esošās un apgūt jaunas prasmes; 6) skaidrot informāciju un palīdzēt izmantot alternatīvās komunikācijas līdzekļus un tehniskos palīglīdzekļus.</t>
  </si>
  <si>
    <t>Viens aprūpētētājs apkalpo vidēji četrus klientus mēnesī, veltot vienam klientam vidēji 10 stundas nedēļā.
Pienākumi: 1) palīdzēt klientiem, kuri pašas sevi nevar aprūpēt, 2) veikt vai sniegt palīdzību personīgās higiēnas un rūpēs par izskatu darbībās, 3) apģērbties un noģērbties, 4) sagatavot un uzņemt ēdienu, 5) pozicionēšanā un pārvietošanās, 6)palīdzību mājas darbu veikšanā 7) sniegt konsultācijas par aprūpi mājās.</t>
  </si>
  <si>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</si>
  <si>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Papildus darbnīcas vadītājam saskaņā ar MK 29.01.2013. noteikumu Nr. 66 31. punktu tiek maksāta piemaksa līdz 25 % apmērā no mēneša atalgojuma (jo amata pienākumi tiek pielīdzināti sociālā darbinieka darbam ilgstošas sociālās aprūpes un sociālās rehabilitācijas iestādē  bērniem ar smagiem garīgās attīstības traucējumiem). 
Pienākumi : 1) vadīt darbnīcas darbu; 2) pārraudzīt citu darbinieku darbu; 3) iesaistīties sarežģītu problēmu risināšanā.</t>
  </si>
  <si>
    <t>Pienākumi:  1) gatavot pārskatus grāmatvedības jomā, veikt tiem nepieciešamos aprēķinus; 2) piedalīties gada un ceturkšņa pārskatu sastādīšanā; 3) veikt pilnu grāmatvedības uzskaiti iestādē.</t>
  </si>
  <si>
    <t xml:space="preserve">Papildus darbu vadītājam saskaņā ar MK 29.01.2013. noteikumu Nr. 66 31. punktu tiek maksāta piemaksa līdz 25 % apmērā no mēneša atalgojuma (jo amata pienākumi tiek pielīdzināti sociālā rehabilitētāja darbam ilgstošas sociālās aprūpes un sociālās rehabilitācijas iestādē  bērniem ar smagiem garīgās attīstības traucējumiem). 
Pienākumi: 1) novērtēt klienta nodarbinātības intereses un iemaņas, to attīstības potenciālu;  2) organizēt un vadīt darba iemaņu apgūšanu, skaidrot un uzraudzīt, kā klients lieto darbam nepieciešamos instrumentus, iekārtas u.c. līdzekļus; 3) sniegt informāciju un skaidrojumus par nodarbinātības jautājumiem.  </t>
  </si>
  <si>
    <t>Papildus sociālajam rehabilitētājam saskaņā ar MK 29.01.2013. noteikumu Nr. 66 31. punktu tiek maksāta piemaksa līdz 25 % apmērā no mēneša atalgojuma (jo amata pienākumi tiek pielīdzināti sociālā rehabilitētāja darbam ilgstošas sociālās aprūpes un sociālās rehabilitācijas iestādē  bērniem ar smagiem garīgās attīstības traucējumiem). 
Pienākumi: 1) ievākt informāciju par klienta vajadzībām un novērtēt viņa sociālās iemaņas; 2) palīdzēt klientiem uzlabot viņu sociālās funkcionēšanas spējas; 3) novērtēt, kā mainās klienta sociālā funkcionēšana, palīdzēt klientam orientēties darba vidē; 4) skaidrot informāciju un palīdzēt izmantot informācijas tehnoloģijas; 5) palīdzēt organizēt brīvo laiku.</t>
  </si>
  <si>
    <t>Papildus sociālajam darbiniekam saskaņā ar MK 29.01.2013. noteikumu Nr. 66 31. punktu tiek maksāta piemaksa līdz 25 % apmērā no mēneša atalgojuma (jo amata pienākumi tiek pielīdzināti sociālā darbinieka darbam ilgstošas sociālās aprūpes un sociālās rehabilitācijas iestādē  bērniem ar smagiem garīgās attīstības traucējumiem). 
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</si>
  <si>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 xml:space="preserve">1244 euro mēnesī x 12 mēneši= 14 928.00 euro gadā / 11 mēneši = 1357.09  euro mēnesī / 4 bērni / 30 dienas = 11.31 euro  x 0.73 slodzes = 8.26 euro dienā, t.sk., atlīdzība speciālistam 7.57  euro un uzkrājums atvaļinājumiem 0.69 euro (8.26  euro - 7.57 euro). </t>
  </si>
  <si>
    <t xml:space="preserve">Sociālais rehabilitētājs saskaņā ar MK 30.11.2010. noteikumiem Nr. 1075 klasificējas 39.saimē, IIB līmenī. 
Sociālā rehabilitētājam saskaņā ar MK 29.01.2013. noteikumu Nr. 66 2. pielikumu piemērojama – 5. mēnešalgu grupa 3. maksimālā kateogorija. 
Sociālā rehabilitētāja atalgojums:
1) 802 euro + 200.50 euro (piemaksa 25%) = 1002.50 euro                                                           
2) 1002.50 euro * 241.50 euro (VSAOI 24.09 %)   = 1244 euro/mēn.                                                
3) 1244 euro/4 klienti /30 dienas = 10.37 euro x 0.73 slodzes = 7.57 euro/dienā
</t>
  </si>
  <si>
    <t xml:space="preserve">1695.38 euro mēnesī x 12 mēneši= 20 344.56 euro gadā / 11 mēneši = 1849.51  euro mēnesī / 4 bērni/ 30 dienas = 15.41 euro  x 0.73 slodzes = 11.25 euro dienā, t.sk., atlīdzība speciālistam 10.32 euro un uzkrājums atvaļinājumiem 0.93 euro (11.25 euro - 10.32 euro). </t>
  </si>
  <si>
    <t xml:space="preserve">Sociālais darbinieks saskaņā ar MK 30.11.2010. noteikumiem Nr. 1075 klasificējas 39.saimē, IIIA līmenī.
Sociālajam darbiniekam saskaņā ar MK 29.01.2013. noteikumu Nr. 66 2. pielikumu piemērojama – 8. mēnešalgu grupa 3. maksimālā kateogorija. 
Sociālajam darbiniekam atalgojums mēnesī:                             1) 1093 euro + 273.25 eur (piemaksa 25%) = 1366.25 euro                                                           
2) 1366.25 euro * 329.13 euro (VSAOI 24.09 %)  = 1695.38 euro/mēn.                                                           3) 1695.38  euro/4 klienti /30 dienas = 14.13 euro x 0.73 slodzes = 10.32 euro/dienā
</t>
  </si>
  <si>
    <t>Sociālais aprūpētājs saskaņā ar MK 30.11.2010. noteikumiem Nr. 1075 klasificējas 39.saimē, IIB līmenī.
MK 29.01.2013. noteikumu Nr. 66 2. pielikums – 5 mēnešalgu grupa 3 maksimālā kateogorija. Sociālajam aprūpētājam atalgojums mēnesī:
1) 802 euro + 200.50 eur (piemaksa 25%) = 1002.50 euro                                                           2) 1002.50 euro * 241.50 euro (VSAOI 24.09 %) = 1244 euro/mēn.                                                               
3) 1244  euro//4 klienti /30 dienas = 10.37 euro x 0.18 slodzes = 1.87 euro/dienā</t>
  </si>
  <si>
    <t xml:space="preserve">943.08 euro mēnesī x 12 mēneši= 11 316.96 euro gadā / 11 mēneši = 1028.82  euro mēnesī / 4 bērni / 30 dienas = 8.57 euro  x 4.38 slodzes = 37.55 euro dienā, t.sk., atlīdzība speciālistam 34.43 euro un uzkrājums atvaļinājumiem  3.12 euro (37.55 euro - 34.43 euro). </t>
  </si>
  <si>
    <t>Aprūpētājs saskaņā ar MK 30.11.2010. noteikumiem Nr. 1075 klasificējas 39.saimē, I līmenī. 
Aprūpētājam saskaņā ar MK 29.01.2013. noteikumu Nr. 66 2.pielikumu attiecināma – 3. mēnešalgu grupa 3. maksimālā kateogorija. 
Aprūpētāja atalgojums:
1) 608 euro + 152 euro (piemaksa 25%) = 760 euro                                                           2) 760 euro + 183.08  euro (VSAOI 24.09 %) = 943.08 euro/mēn.                                                  
3) 943.08  euro//4 klienti /30 dienas = 7.86 euro x 4.38 slodzes = 34.43 euro/dienā</t>
  </si>
  <si>
    <t xml:space="preserve">943.08 euro mēnesī x 12 mēneši= 11 316.96 euro gadā / 11 mēneši = 1028.82  euro mēnesī / 4 bērni/ 30 dienas = 8.57 euro  x1.75 slodzes = 15.00 euro dienā, t.sk., atlīdzība speciālistam 13.76 euro un uzkrājums atvaļinājumiem  1.24 euro (15.00 euro - 13.76 euro). </t>
  </si>
  <si>
    <t>Aprūpētājs saskaņā ar MK 30.11.2010. noteikumiem Nr. 1075 klasificējas 39.saimē, I līmenī. 
Aprūpētājam saskaņā ar MK 29.01.2013. noteikumu Nr. 66 2.pielikumu attiecināma – 3. mēnešalgu grupa 3. maksimālā kateogorija. 
Aprūpētāja atalgojums:
1) 608 euro + 152 eur (piemaksa 25%) = 760 euro                                                           2) 760 euro + 183.08  euro (VSAOI 24.09 %) = 943.08 euro/mēn.                                                       
3) 943.08  euro/4 klienti /30 dienas = 7.86 euro x 1.75 slodzes = 13.76 euro/dienā</t>
  </si>
  <si>
    <t>Atlīdzības izmaksas speciālistiem</t>
  </si>
  <si>
    <t>Pārējās pakalpojuma nodrošināšanas, administrēšanas izmaksas</t>
  </si>
  <si>
    <t>Papildus sociālajam aprūpētājam saskaņā ar MK 29.01.2013. noteikumu Nr. 66 31. punktu tiek maksāta piemaksa līdz 25 % apmērā no mēneša atalgojuma (jo amata pienākumi tiek pielīdzināti sociālā aprūpētāja darbam ilgstošas sociālās aprūpes un sociālās rehabilitācijas iestādē  bērniem ar smagiem garīgās attīstības traucējumiem).                Pienākumi: 1) ievākt informāciju par bērna vajadzībām un novērtēt viņa pašaprūpes iemaņas; 2) palīdzēt bērniem ar funkcionāliem traucējumiem uzlabot funkcionēšanas iemaņas; 3) novērtēt, kā mainās bērna iespējas aprūpēt sevi, un attiecīgi izteikt rekomendācijas sociālās aprūpes pakalpojumu kompleksa apjoma maiņai; 4) palīdzēt sociālajam darbiniekam sadarbībā ar citiem speciālistiem izstrādāt un īstenot bērna individuālo atbalsta plānu;  5) palīdzēt bērnam uzlabot esošās un apgūt jaunas aprūpes prasmes; 6) palīdzēt izmantot tehniskos līdzekļus.</t>
  </si>
  <si>
    <r>
      <t xml:space="preserve"> Speciālisti tiek piesaistīti atbilstoši iespējām un konkrētajiem pieejamajiem cilvēkresursiem iestādē, kurā nodrošina atelpas brīža pakalpojumu, un, ja iestādē nav pieejams sociālais aprūpētājs, tad var piesaistīt citu speciālistu, kas  nodrošina atbalstu bērniem, piemēram māsas palīgu, ārtsa palīgu.Sociālais aprūpētājs atbilstoši nepieciešamībai nodrošina atbalstu 1 stundu/diennaktī 4 bērniem.                                              Sociālā aprūpētāja noslodzes aprēķins: 1) pakalpojuma apmērs stundās  diennaktī (uz 4 bērniem) - 1 stunda; 2) pakalpojuma apmērs stundās  gadā (uz 4 bērniem) - 1 stunda * 365 dienas = 365  stundas; 3) slodžu skaits - 365 stundas/2002 darba stundas = 0.18  slodzes.                                                                    </t>
    </r>
    <r>
      <rPr>
        <sz val="11"/>
        <rFont val="Times New Roman"/>
        <family val="1"/>
        <charset val="186"/>
      </rPr>
      <t>Papildus sociālajam aprūpētājam saskaņā ar MK 29.01.2013. noteikumu Nr. 66 31. punktu tiek maksāta piemaksa līdz 25 % apmērā no mēneša atalgojuma (jo amata pienākumi tiek pielīdzināti sociālā aprūpētāja darbam ilgstošas sociālās aprūpes un sociālās rehabilitācijas iestādē  bērniem ar smagiem garīgās attīstības traucējumiem).</t>
    </r>
    <r>
      <rPr>
        <sz val="11"/>
        <color theme="1"/>
        <rFont val="Times New Roman"/>
        <family val="1"/>
        <charset val="186"/>
      </rPr>
      <t xml:space="preserve">
Pienākumi: 1) ievākt informāciju par bērna vajadzībām un novērtēt viņa pašaprūpes iemaņas; 2) palīdzēt bērniem ar funkcionāliem traucējumiem uzlabot funkcionēšanas iemaņas; 3) novērtēt, kā mainās bērna iespējas aprūpēt sevi, un attiecīgi izteikt rekomendācijas sociālās aprūpes pakalpojumu kompleksa apjoma maiņai; </t>
    </r>
  </si>
  <si>
    <r>
      <t xml:space="preserve">Aprūpētājs nodrošina diennakts (24 stundas) posteni pakalpojuma ietvaros.                                                  Aprūpētāja noslodzes aprēķins: 1) pakalpojuma apmērs stundās  diennaktī (uz 4 bērniem) - 24 stundas; 2) pakalpojuma apmērs stundās  gadā (uz 4 bērniem) - 24 stunda * 365 dienas = 8760  stundas; 3) slodžu skaits - 8760 stundas/2002 darba stundas = 4.38  slodzes.                                                                                  </t>
    </r>
    <r>
      <rPr>
        <sz val="11"/>
        <rFont val="Times New Roman"/>
        <family val="1"/>
        <charset val="186"/>
      </rPr>
      <t>Papildus aprūpētājam saskaņā ar MK 29.01.2013. noteikumu Nr. 66 31. punktu tiek maksāta piemaksa līdz 25 % apmērā no mēneša atalgojuma (jo amata pienākumi tiek pielīdzināti aprūpētāja darbam ilgstošas sociālās aprūpes un sociālās rehabilitācijas iestādē  bērniem ar smagiem garīgās attīstības traucējumiem).</t>
    </r>
    <r>
      <rPr>
        <sz val="11"/>
        <color theme="1"/>
        <rFont val="Times New Roman"/>
        <family val="1"/>
        <charset val="186"/>
      </rPr>
      <t xml:space="preserve">
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r>
  </si>
  <si>
    <r>
      <t xml:space="preserve">Aprūpētājs nodrošina bērnu aprūpi no plkst. 20:00 līdz plkst. 08:00i pakalpojuma ietvaros.                                                  Aprūpētāja noslodzes aprēķins: 1) pakalpojuma apmērs stundās  diennaktī (uz 4 bērniem) - 10 stundas; 2) pakalpojuma apmērs stundās  gadā (uz 4 bērniem) - 10 stunda * 365 dienas = 3650  stundas; 3) slodžu skaits - 3650 stundas/2002 darba stundas = 1.82  slodzes.                                                                                    </t>
    </r>
    <r>
      <rPr>
        <sz val="11"/>
        <rFont val="Times New Roman"/>
        <family val="1"/>
        <charset val="186"/>
      </rPr>
      <t>Papildus aprūpētajam saskaņā ar MK 29.01.2013. noteikumu Nr. 66 31. punktu tiek maksāta piemaksa līdz 25 % apmērā no mēneša atalgojuma (jo amata pienākumi tiek pielīdzināti aprūpētāja darbam ilgstošas sociālās aprūpes un sociālās rehabilitācijas iestādē  bērniem ar smagiem garīgās attīstības traucējumiem).</t>
    </r>
    <r>
      <rPr>
        <sz val="11"/>
        <color theme="1"/>
        <rFont val="Times New Roman"/>
        <family val="1"/>
        <charset val="186"/>
      </rPr>
      <t xml:space="preserve">
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r>
  </si>
  <si>
    <r>
      <t xml:space="preserve">Sociālais darbinieks darbam ar vienu bērnu velta vismaz 1 stundu/diennaktī (t.sk. dokumentu kārtošana).                                                                                                                                        Sociālā darbinieka noslodzes aprēķins: 1) pakalpojuma apmērs stundās  diennaktī (uz 4 bērniem) - 4 stundas; 2) pakalpojuma apmērs stundās  gadā (uz 4 bērniem) - 4 stundas * 365 dienass = 1460  stundas; 3) slodžu skaits - 1460 stundas/2002 darba stundas = 0.73 slodzes.                                                                                    </t>
    </r>
    <r>
      <rPr>
        <sz val="11"/>
        <rFont val="Times New Roman"/>
        <family val="1"/>
        <charset val="186"/>
      </rPr>
      <t xml:space="preserve">Papildus sociālajam darbiniekam saskaņā ar MK 29.01.2013. noteikumu Nr. 66 31. punktu tiek maksāta piemaksa līdz 25 % apmērā no mēneša atalgojuma (jo amata pienākumi tiek pielīdzināti sociālā darbinieka darbam ilgstošas sociālās aprūpes un sociālās rehabilitācijas iestādē  bērniem ar smagiem garīgās attīstības traucējumiem). </t>
    </r>
    <r>
      <rPr>
        <sz val="11"/>
        <color theme="1"/>
        <rFont val="Times New Roman"/>
        <family val="1"/>
        <charset val="186"/>
      </rPr>
      <t xml:space="preserve">
Pienākumi: 1) vadīt bērna sociālo problēmu risināšanu, piesaistot nepieciešamos speciālistus; 2) strādāt ar bērnu individuāli vai grupā, lai  identificētu sociālo problēmu un noteiktu atbalsta veidus; 3) analizēt bērna sociālo problēmu un palīdzēt rast problēmu risinājuma iespējas; 4) nodrošināt bērna sociālā atbalsta tīkla veidošanu; 5) strādāt ar grupu, lai palīdzētu bērnam attīstīt nepieciešamās prasmes; 6) aizstāvēt bērnu intereses un tiesības; 7) veidot sadarbību ar citām institūcijām.</t>
    </r>
  </si>
  <si>
    <r>
      <t xml:space="preserve">Speciālisti tiek piesaistīti atbilstoši iespējām un konkrētajiem pieejamajiem cilvēkresursiem iestādē, kurā nodrošina atelpas brīža pakalpojumu, un, ja iestādē nav pieejams sociālais rehabilitētājs, tad var piesaistīt citu speciālistu, kas vada nodarbības, piemēram, interešu izglītības pedagogu, sociālo audzinātāju. Sociālais rehabilitētājs darbam ar vienu bērnu velta vismaz 1 stundu/diennaktī.
Sociālā rehabilitētāja noslodzes aprēķins: 1) pakalpojuma apmērs stundās  diennaktī (uz 4 bērniem) - 4 stundas; 2) pakalpojuma apmērs stundās  gadā (uz 4 bērniem) - 4 stundas * 365 dienass = 1460  stundas; 3) slodžu skaits - 1460 stundas/2002 darba stundas = 0.73 slodzes.                                                                            </t>
    </r>
    <r>
      <rPr>
        <sz val="11"/>
        <rFont val="Times New Roman"/>
        <family val="1"/>
        <charset val="186"/>
      </rPr>
      <t>Papildus sociālajam rehabilitētājam saskaņā ar MK 29.01.2013. noteikumu Nr. 66 31. punktu tiek maksāta piemaksa līdz 25 % apmērā no mēneša atalgojuma (jo amata pienākumi tiek pielīdzināti sociālā rehabilitētāja darbam ilgstošas sociālās aprūpes un sociālās rehabilitācijas iestādē  bērniem ar smagiem garīgās attīstības traucējumiem).</t>
    </r>
    <r>
      <rPr>
        <sz val="11"/>
        <color theme="1"/>
        <rFont val="Times New Roman"/>
        <family val="1"/>
        <charset val="186"/>
      </rPr>
      <t xml:space="preserve">
Pienākumi: 1)  organizēt un vadīt nodarbības sociālo iemaņu un funkcionēšanas spēju attīstībai; 2) novērtēt, kā mainās bērna sociālā funkcionēšana, un attiecīgi sniegt rekomendācijas sociālās rehabilitācijas pakalpojumu apjoma un satura maiņai; 3) palīdzēt sociālajam darbiniekam sadarbībā ar citiem speciālistiem īstenot bērnu individuālo atbalsta plānu; 4) palīdzēt bērnam uzlabot esošās un apgūt jaunas prasmes.</t>
    </r>
  </si>
  <si>
    <t xml:space="preserve">Pienākumi: 1) nodrošināt bērnam viņa vecumam un veselības stāvoklim atbilstošu sociālo audzināšanu, izglītību un aprūpi ģimenes apstākļiem pietuvinātā vidē;
2) sadarbībā ar sociālā darba speciālistu veidot ilglaicīgas attiecības ar audzināmo bērnu un viņa bioloģisko ģimeni,  3) atbalstīt bērnu rehabilitācijas un ārstēšanās laikā, veidot higiēnas un kulturālas uzvedības iemaņas, mājsaimniecības prasmes; 
4) vadīt bērna individuālo attīstību, pamatojoties uz individuālo atbalsta  plānu un īstenojot plānā izvirzītos uzdevumus; 
5) plānot un nodrošināt bērna spējām atbilstošas radošās un sporta nodarbības, saturīgu brīvā laika pavadīšanu, nodarbinātības pasākumus; 
</t>
  </si>
  <si>
    <r>
      <t>P</t>
    </r>
    <r>
      <rPr>
        <b/>
        <sz val="11"/>
        <color indexed="8"/>
        <rFont val="Times New Roman"/>
        <family val="1"/>
        <charset val="186"/>
      </rPr>
      <t>akalpojuma "Aprūpe mājās" vienas vienības izmaksu  aprēķins</t>
    </r>
  </si>
  <si>
    <t>Pakalpojuma "Dienas aprūpes centrs" vienas vienības izmaksu  aprēķins</t>
  </si>
  <si>
    <r>
      <t>Pakalpojuma "Specializētās darbnīcas" vienas vienības izmaksu aprēķins</t>
    </r>
    <r>
      <rPr>
        <sz val="12"/>
        <rFont val="Arial"/>
        <family val="1"/>
        <charset val="186"/>
      </rPr>
      <t/>
    </r>
  </si>
  <si>
    <t>Pakalpojuma "Atelpas brīdis institūcijā" vienas vienības izmaksu  aprēķins</t>
  </si>
  <si>
    <t>Pakalpojuma "Speciālista konsultācija un individuālais atbalsts" vienas vienības izmaksu  aprēķins</t>
  </si>
  <si>
    <t>Pakalpojuma "Grupu nodarbības" vienas vienības (grupas) izmaksu   aprēķins</t>
  </si>
  <si>
    <t>Universālā asistenta pakalpojuma vienas vienības izmaksu aprēķins</t>
  </si>
  <si>
    <t>Sabiedrībā balstītu sociālo pakalpojumu vienas vienības izmaksu aprēķins</t>
  </si>
  <si>
    <t>Pskaidrojums</t>
  </si>
  <si>
    <t>Pakalpojuma apjoms 2020.gadā vidēji 166.8 stundas mēnesī.Vidējo darba stundu skaitu aprēķina pēc formulas  - darba laika kalendāra kopējo darba stundu skaitu dala ar 12 mēnešiem. Atbilstoši 2020.gadā ir 2002 darba stundas, vidēji mēnesī 166.8 stundas (pie 40 stundu nedēļas).                                                                                                                 Universālajam asistentam atlīdzības izmaksas  saskaņā ar MK 30.11.2010. noteikumiem Nr. 1075 klasificējas 39.saimē II A līmenī. 
Universālajam asistentam saskaņā ar MK 29.01.2013. noteikumu Nr. 66 2.pielikumu attiecināma – 4. mēnešalgu grupa 3. maksimālā kateogorija.                                                                         
Papildus universālajam asistentam saskaņā ar MK 29.01.2013. noteikumu Nr. 66 31. punktu tiek maksāta piemaksa līdz 25 % apmērā no mēneša atalgojuma (jo amata pienākumi tiek daļēji pielīdzināti  sociālā darba speciālista darbam ilgstošas sociālās aprūpes un sociālās rehabilitācijas iestādē  bērniem ar smagiem garīgās attīstības traucējumiem).                                  
Universālā asistenta atalgojums:
1) 705 euro +  176.25 euro (piemaksa 25%) = 881.25 euro.mēn.                                                              
2) 881.25 euro + 212.29 euro (VSAOI 24.09 % ) = 1093.54 euro/mēn.                                           
3) Atlīdzības izdevumi mēnesī 1093.54 euro/166.8 stundas = 6.56  euro/h</t>
  </si>
  <si>
    <t xml:space="preserve">Mēnesī vidēji  21 darba diena, t.sk.  166.8 darba stundas. Pakalpojuma izmaksas uz vienu klientu ir aprēķinātas, vadoties no situācijas, ka vienā darbnīcā pakalpojumu saņem 16 klienti. Darbnīca saņem aprēķināto vienas dienas izmaksu summu atbilstoši klientu skaitam un darba dienu skaitam.  Specializētā darbnīca strādā pilnu darba dienas darbalaiku.                                
</t>
  </si>
  <si>
    <t xml:space="preserve"> DAC pakalpojuma izmaksas uz vienu klientu ir aprēķinātas, vadoties no situācijas, ka vienā DAC pakalpojumu saņem ne vairāk kā 20 klienti. DAC pakalpojuma nodrošināšanai ir nepieciešami 7 darbinieki (7 slodzes) (neskaitot sociālo darbinieku), kas nodrošinās darbu tieši ar klientu (vidēji 3  klienti uz 1 slodzi).DAC pakqalpojumu saņem aprēķināto vienas dienas izmaksu summu atbilstoši klientu skaitam un darba dienu skaitam. </t>
  </si>
  <si>
    <t xml:space="preserve">Atelpas brīža pakalpojums institūcijā  - pieņemts, ka vienā institūcijā pakalpojums tiek nodrošināts 4 bērniem diennaktī. Pakalpojuma nodrošināšanai ir nepieciešami 1-2 darbinieki (0.91 slodzes), kas nodrošinās dažādas nodarbības, aktivitātes ar bērniem (vidēji 0.2 slodzes uz 1 bērnu) un  6 darbinieki (6.13 slodzes), kas nodrošinās bērnu aprūpi un pieskatīšanu noklājot 24 stundas diennaktī (vidēji 1.5 slodzes uz 1 bērnu). Pakalpojuma nodrošinātāja institūcija saņem aprēķināto vienas diennakts izmaksu summu atbilstoši personu skaitam un kalendāro diennnakšu skaitam.                                                                                                                                                                              Gadā: 365 dienas; 52.14 nedēļas; 2002 darba stundas (normāla darba laika ietvaros/ 40 stundu darrba nedēļa).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</si>
</sst>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0"/>
  </numFmts>
  <fonts count="46" x14ac:knownFonts="1">
    <font>
      <sz val="10"/>
      <name val="Arial"/>
      <charset val="186"/>
    </font>
    <font>
      <sz val="10"/>
      <name val="Arial"/>
      <family val="2"/>
      <charset val="186"/>
    </font>
    <font>
      <sz val="11"/>
      <name val="Times New Roman"/>
      <family val="1"/>
      <charset val="186"/>
    </font>
    <font>
      <b/>
      <sz val="11"/>
      <name val="Times New Roman"/>
      <family val="1"/>
      <charset val="186"/>
    </font>
    <font>
      <strike/>
      <sz val="11"/>
      <color indexed="30"/>
      <name val="Times New Roman"/>
      <family val="1"/>
      <charset val="186"/>
    </font>
    <font>
      <strike/>
      <sz val="11"/>
      <name val="Times New Roman"/>
      <family val="1"/>
      <charset val="186"/>
    </font>
    <font>
      <b/>
      <i/>
      <sz val="11"/>
      <name val="Times New Roman"/>
      <family val="1"/>
      <charset val="186"/>
    </font>
    <font>
      <b/>
      <sz val="11"/>
      <color indexed="8"/>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i/>
      <sz val="11"/>
      <color theme="1"/>
      <name val="Times New Roman"/>
      <family val="1"/>
      <charset val="186"/>
    </font>
    <font>
      <strike/>
      <sz val="11"/>
      <color theme="1"/>
      <name val="Times New Roman"/>
      <family val="1"/>
      <charset val="186"/>
    </font>
    <font>
      <b/>
      <strike/>
      <sz val="11"/>
      <color theme="1"/>
      <name val="Times New Roman"/>
      <family val="1"/>
      <charset val="186"/>
    </font>
    <font>
      <b/>
      <strike/>
      <sz val="11"/>
      <name val="Times New Roman"/>
      <family val="1"/>
      <charset val="186"/>
    </font>
    <font>
      <sz val="8"/>
      <name val="Arial"/>
      <family val="2"/>
      <charset val="186"/>
    </font>
    <font>
      <sz val="12"/>
      <color theme="1"/>
      <name val="Times New Roman"/>
      <family val="1"/>
      <charset val="186"/>
    </font>
    <font>
      <sz val="12"/>
      <name val="Times New Roman"/>
      <family val="1"/>
      <charset val="186"/>
    </font>
    <font>
      <sz val="14"/>
      <name val="Times New Roman"/>
      <family val="1"/>
      <charset val="186"/>
    </font>
    <font>
      <b/>
      <sz val="14"/>
      <name val="Times New Roman"/>
      <family val="1"/>
      <charset val="186"/>
    </font>
    <font>
      <sz val="10"/>
      <color theme="1"/>
      <name val="Arial"/>
      <family val="2"/>
      <charset val="186"/>
    </font>
    <font>
      <sz val="11"/>
      <name val="Arial"/>
      <family val="2"/>
      <charset val="186"/>
    </font>
    <font>
      <sz val="11"/>
      <color rgb="FFFF0000"/>
      <name val="Arial"/>
      <family val="2"/>
      <charset val="186"/>
    </font>
    <font>
      <i/>
      <sz val="12"/>
      <name val="Times New Roman"/>
      <family val="1"/>
      <charset val="186"/>
    </font>
    <font>
      <b/>
      <sz val="12"/>
      <color theme="1"/>
      <name val="Times New Roman"/>
      <family val="1"/>
      <charset val="186"/>
    </font>
    <font>
      <sz val="12"/>
      <name val="Arial"/>
      <family val="1"/>
      <charset val="186"/>
    </font>
    <font>
      <sz val="11"/>
      <color indexed="8"/>
      <name val="Times New Roman"/>
      <family val="1"/>
      <charset val="186"/>
    </font>
    <font>
      <sz val="10"/>
      <name val="Arial"/>
      <family val="2"/>
    </font>
    <font>
      <sz val="11"/>
      <color rgb="FF000000"/>
      <name val="Calibri"/>
      <family val="2"/>
      <charset val="186"/>
    </font>
    <font>
      <i/>
      <sz val="14"/>
      <name val="Times New Roman"/>
      <family val="1"/>
      <charset val="186"/>
    </font>
    <font>
      <sz val="10"/>
      <color rgb="FF000000"/>
      <name val="Arial"/>
      <family val="2"/>
      <charset val="186"/>
    </font>
    <font>
      <b/>
      <sz val="10"/>
      <color indexed="8"/>
      <name val="Arial"/>
      <family val="1"/>
      <charset val="186"/>
    </font>
    <font>
      <sz val="11"/>
      <color rgb="FFFF0000"/>
      <name val="Times New Roman"/>
      <family val="1"/>
      <charset val="186"/>
    </font>
    <font>
      <b/>
      <sz val="12"/>
      <color rgb="FF000000"/>
      <name val="Times New Roman"/>
      <family val="1"/>
      <charset val="186"/>
    </font>
    <font>
      <sz val="12"/>
      <color rgb="FF000000"/>
      <name val="Times New Roman"/>
      <family val="1"/>
      <charset val="186"/>
    </font>
    <font>
      <i/>
      <sz val="14"/>
      <color rgb="FF000000"/>
      <name val="Times New Roman"/>
      <family val="1"/>
      <charset val="186"/>
    </font>
    <font>
      <b/>
      <sz val="11"/>
      <color rgb="FF000000"/>
      <name val="Times New Roman"/>
      <family val="1"/>
      <charset val="186"/>
    </font>
    <font>
      <i/>
      <sz val="11"/>
      <color rgb="FF000000"/>
      <name val="Times New Roman"/>
      <family val="1"/>
      <charset val="186"/>
    </font>
    <font>
      <i/>
      <sz val="11"/>
      <color indexed="8"/>
      <name val="Calibri"/>
      <family val="2"/>
      <charset val="186"/>
    </font>
    <font>
      <sz val="11"/>
      <color rgb="FF000000"/>
      <name val="Times New Roman"/>
      <family val="1"/>
      <charset val="186"/>
    </font>
    <font>
      <sz val="6"/>
      <color rgb="FF000000"/>
      <name val="Times New Roman"/>
      <family val="1"/>
      <charset val="186"/>
    </font>
    <font>
      <sz val="9"/>
      <color rgb="FF000000"/>
      <name val="Times New Roman"/>
      <family val="1"/>
      <charset val="186"/>
    </font>
    <font>
      <b/>
      <sz val="10"/>
      <color indexed="8"/>
      <name val="Times New Roman"/>
      <family val="1"/>
      <charset val="186"/>
    </font>
    <font>
      <u/>
      <sz val="10"/>
      <color theme="10"/>
      <name val="Arial"/>
      <family val="2"/>
    </font>
    <font>
      <sz val="11"/>
      <color theme="5" tint="0.39997558519241921"/>
      <name val="Times New Roman"/>
      <family val="1"/>
      <charset val="186"/>
    </font>
    <font>
      <b/>
      <sz val="12"/>
      <name val="Times New Roman"/>
      <family val="1"/>
      <charset val="186"/>
    </font>
  </fonts>
  <fills count="14">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rgb="FFD9D9D9"/>
      </patternFill>
    </fill>
    <fill>
      <patternFill patternType="solid">
        <fgColor theme="0"/>
        <bgColor rgb="FFD9D9D9"/>
      </patternFill>
    </fill>
    <fill>
      <patternFill patternType="solid">
        <fgColor theme="0" tint="-0.14999847407452621"/>
        <bgColor rgb="FFA6A6A6"/>
      </patternFill>
    </fill>
    <fill>
      <patternFill patternType="solid">
        <fgColor theme="0" tint="-0.14999847407452621"/>
        <bgColor indexed="64"/>
      </patternFill>
    </fill>
    <fill>
      <patternFill patternType="solid">
        <fgColor theme="0" tint="-0.14999847407452621"/>
        <bgColor rgb="FFBFBFBF"/>
      </patternFill>
    </fill>
    <fill>
      <patternFill patternType="solid">
        <fgColor theme="0"/>
        <bgColor rgb="FFBFBFBF"/>
      </patternFill>
    </fill>
    <fill>
      <patternFill patternType="solid">
        <fgColor rgb="FFFFFFFF"/>
        <bgColor rgb="FFFFFFFF"/>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xf numFmtId="0" fontId="27" fillId="0" borderId="0"/>
    <xf numFmtId="0" fontId="28" fillId="0" borderId="0"/>
    <xf numFmtId="0" fontId="30" fillId="0" borderId="0" applyNumberFormat="0" applyBorder="0" applyProtection="0"/>
    <xf numFmtId="43" fontId="28" fillId="0" borderId="0" applyFont="0" applyFill="0" applyBorder="0" applyAlignment="0" applyProtection="0"/>
    <xf numFmtId="0" fontId="43" fillId="0" borderId="0" applyNumberFormat="0" applyFill="0" applyBorder="0" applyAlignment="0" applyProtection="0"/>
  </cellStyleXfs>
  <cellXfs count="513">
    <xf numFmtId="0" fontId="0" fillId="0" borderId="0" xfId="0"/>
    <xf numFmtId="0" fontId="2" fillId="0" borderId="0" xfId="0" applyFont="1"/>
    <xf numFmtId="2" fontId="2" fillId="0" borderId="0" xfId="0" applyNumberFormat="1" applyFont="1"/>
    <xf numFmtId="4" fontId="2" fillId="0" borderId="0" xfId="0" applyNumberFormat="1" applyFont="1"/>
    <xf numFmtId="0" fontId="2" fillId="0" borderId="0" xfId="0" applyFont="1" applyAlignment="1">
      <alignment vertical="center"/>
    </xf>
    <xf numFmtId="0" fontId="9" fillId="0" borderId="0" xfId="0" applyFont="1"/>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xf>
    <xf numFmtId="0" fontId="9" fillId="0" borderId="1" xfId="0" applyFont="1" applyBorder="1"/>
    <xf numFmtId="0" fontId="2"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2" borderId="1" xfId="0" applyNumberFormat="1" applyFont="1" applyFill="1" applyBorder="1" applyAlignment="1">
      <alignment horizontal="center"/>
    </xf>
    <xf numFmtId="0" fontId="2" fillId="0" borderId="1" xfId="0" applyFont="1" applyBorder="1" applyAlignment="1">
      <alignment horizontal="center"/>
    </xf>
    <xf numFmtId="4" fontId="2" fillId="0" borderId="1" xfId="0" applyNumberFormat="1" applyFont="1" applyBorder="1" applyAlignment="1">
      <alignment horizontal="center"/>
    </xf>
    <xf numFmtId="2" fontId="2" fillId="0" borderId="1" xfId="0" applyNumberFormat="1" applyFont="1" applyBorder="1" applyAlignment="1">
      <alignment horizontal="center"/>
    </xf>
    <xf numFmtId="3" fontId="3" fillId="2" borderId="1" xfId="0" applyNumberFormat="1" applyFont="1" applyFill="1" applyBorder="1" applyAlignment="1">
      <alignment horizontal="center"/>
    </xf>
    <xf numFmtId="1" fontId="3" fillId="2" borderId="1" xfId="0" applyNumberFormat="1" applyFont="1" applyFill="1" applyBorder="1" applyAlignment="1">
      <alignment horizontal="center"/>
    </xf>
    <xf numFmtId="4" fontId="3" fillId="2" borderId="1" xfId="0" applyNumberFormat="1" applyFont="1" applyFill="1" applyBorder="1" applyAlignment="1">
      <alignment horizontal="center"/>
    </xf>
    <xf numFmtId="0" fontId="2" fillId="0" borderId="0" xfId="0" applyFont="1" applyAlignment="1">
      <alignment vertical="top"/>
    </xf>
    <xf numFmtId="0" fontId="2" fillId="0" borderId="0" xfId="0" applyFont="1" applyFill="1" applyBorder="1" applyAlignment="1">
      <alignment vertical="top"/>
    </xf>
    <xf numFmtId="0" fontId="9" fillId="0" borderId="1" xfId="0" applyFont="1" applyBorder="1" applyAlignment="1">
      <alignment vertical="top"/>
    </xf>
    <xf numFmtId="4" fontId="9" fillId="0" borderId="1" xfId="0" applyNumberFormat="1" applyFont="1" applyBorder="1" applyAlignment="1">
      <alignment horizontal="center" vertical="center"/>
    </xf>
    <xf numFmtId="4" fontId="9" fillId="0" borderId="2" xfId="0" applyNumberFormat="1" applyFont="1" applyBorder="1" applyAlignment="1">
      <alignment horizontal="center" vertical="center"/>
    </xf>
    <xf numFmtId="4" fontId="10" fillId="0" borderId="3" xfId="0" applyNumberFormat="1" applyFont="1" applyBorder="1" applyAlignment="1">
      <alignment horizontal="center" vertical="center"/>
    </xf>
    <xf numFmtId="4" fontId="9" fillId="0" borderId="4" xfId="0" applyNumberFormat="1" applyFont="1" applyBorder="1" applyAlignment="1">
      <alignment horizontal="center" vertical="center"/>
    </xf>
    <xf numFmtId="4" fontId="10" fillId="0" borderId="5" xfId="0" applyNumberFormat="1" applyFont="1" applyBorder="1" applyAlignment="1">
      <alignment horizontal="center" vertical="center"/>
    </xf>
    <xf numFmtId="0" fontId="9" fillId="0" borderId="0" xfId="0" applyFont="1" applyFill="1" applyBorder="1" applyAlignment="1">
      <alignment vertical="top"/>
    </xf>
    <xf numFmtId="4" fontId="3" fillId="0" borderId="3"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4" fontId="9" fillId="0" borderId="7" xfId="0" applyNumberFormat="1" applyFont="1" applyBorder="1" applyAlignment="1">
      <alignment horizontal="center" vertical="center"/>
    </xf>
    <xf numFmtId="4" fontId="10" fillId="0" borderId="8" xfId="0" applyNumberFormat="1" applyFont="1" applyBorder="1" applyAlignment="1">
      <alignment horizontal="center" vertical="center"/>
    </xf>
    <xf numFmtId="4" fontId="10" fillId="0" borderId="11" xfId="0" applyNumberFormat="1" applyFont="1" applyBorder="1" applyAlignment="1">
      <alignment horizontal="center" vertical="center"/>
    </xf>
    <xf numFmtId="4" fontId="10" fillId="0" borderId="11" xfId="0" applyNumberFormat="1" applyFont="1" applyFill="1" applyBorder="1" applyAlignment="1">
      <alignment horizontal="center" vertical="center"/>
    </xf>
    <xf numFmtId="0" fontId="2" fillId="0" borderId="0" xfId="0" applyFont="1" applyAlignment="1" applyProtection="1">
      <alignment vertical="top"/>
      <protection locked="0"/>
    </xf>
    <xf numFmtId="4" fontId="9" fillId="0" borderId="0" xfId="0" applyNumberFormat="1" applyFont="1"/>
    <xf numFmtId="0" fontId="10" fillId="3" borderId="13" xfId="0" applyFont="1" applyFill="1" applyBorder="1" applyAlignment="1">
      <alignment horizontal="center" vertical="center" wrapText="1"/>
    </xf>
    <xf numFmtId="3"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9" fillId="3"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2" fontId="9" fillId="0" borderId="1" xfId="0" applyNumberFormat="1" applyFont="1" applyBorder="1" applyAlignment="1">
      <alignment horizontal="center" vertical="center"/>
    </xf>
    <xf numFmtId="0" fontId="9" fillId="2" borderId="1" xfId="0" applyFont="1" applyFill="1" applyBorder="1" applyAlignment="1">
      <alignment vertical="center" wrapText="1"/>
    </xf>
    <xf numFmtId="0" fontId="10" fillId="3" borderId="1" xfId="0" applyFont="1" applyFill="1" applyBorder="1" applyAlignment="1">
      <alignment horizontal="right" vertical="center" wrapText="1"/>
    </xf>
    <xf numFmtId="1" fontId="10" fillId="3" borderId="13"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10" fillId="0" borderId="0" xfId="0" applyFont="1" applyFill="1" applyBorder="1" applyAlignment="1">
      <alignment horizontal="left" vertical="center" wrapText="1"/>
    </xf>
    <xf numFmtId="3"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4" fontId="3" fillId="0" borderId="0" xfId="0" applyNumberFormat="1" applyFont="1" applyFill="1" applyBorder="1" applyAlignment="1">
      <alignment horizontal="center"/>
    </xf>
    <xf numFmtId="1" fontId="2"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4" fontId="10" fillId="0" borderId="16" xfId="0" applyNumberFormat="1" applyFont="1" applyFill="1" applyBorder="1" applyAlignment="1">
      <alignment horizontal="center" vertical="center"/>
    </xf>
    <xf numFmtId="4" fontId="10" fillId="0" borderId="17" xfId="0" applyNumberFormat="1" applyFont="1" applyFill="1" applyBorder="1" applyAlignment="1">
      <alignment horizontal="center" vertical="center"/>
    </xf>
    <xf numFmtId="4" fontId="10" fillId="0" borderId="18" xfId="0" applyNumberFormat="1" applyFont="1" applyFill="1" applyBorder="1" applyAlignment="1">
      <alignment horizontal="center" vertical="center"/>
    </xf>
    <xf numFmtId="4" fontId="10" fillId="0" borderId="19" xfId="0" applyNumberFormat="1" applyFont="1" applyFill="1" applyBorder="1" applyAlignment="1">
      <alignment horizontal="center" vertical="center"/>
    </xf>
    <xf numFmtId="4" fontId="3" fillId="0" borderId="16"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wrapText="1"/>
    </xf>
    <xf numFmtId="0" fontId="9" fillId="4" borderId="1" xfId="0" applyFont="1" applyFill="1" applyBorder="1" applyAlignment="1">
      <alignment horizontal="center" vertical="center"/>
    </xf>
    <xf numFmtId="0" fontId="9" fillId="0" borderId="1" xfId="0" applyFont="1" applyBorder="1" applyAlignment="1">
      <alignment vertical="center" wrapText="1"/>
    </xf>
    <xf numFmtId="0" fontId="9" fillId="0" borderId="20" xfId="0" applyFont="1" applyBorder="1" applyAlignment="1">
      <alignment horizontal="center" vertical="center"/>
    </xf>
    <xf numFmtId="0" fontId="10" fillId="0" borderId="11" xfId="0" applyFont="1" applyBorder="1" applyAlignment="1">
      <alignment horizontal="left" vertical="top"/>
    </xf>
    <xf numFmtId="4" fontId="13" fillId="0" borderId="3" xfId="0" applyNumberFormat="1" applyFont="1" applyBorder="1" applyAlignment="1">
      <alignment horizontal="center" vertical="center"/>
    </xf>
    <xf numFmtId="4" fontId="13" fillId="0" borderId="5" xfId="0" applyNumberFormat="1" applyFont="1" applyBorder="1" applyAlignment="1">
      <alignment horizontal="center" vertical="center"/>
    </xf>
    <xf numFmtId="4" fontId="14" fillId="0" borderId="3" xfId="0" applyNumberFormat="1" applyFont="1" applyBorder="1" applyAlignment="1">
      <alignment horizontal="center" vertical="center"/>
    </xf>
    <xf numFmtId="0" fontId="9"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3" borderId="1" xfId="0" applyFont="1" applyFill="1" applyBorder="1" applyAlignment="1">
      <alignment horizontal="center" vertical="center"/>
    </xf>
    <xf numFmtId="4" fontId="9" fillId="0" borderId="6" xfId="0" applyNumberFormat="1" applyFont="1" applyBorder="1" applyAlignment="1">
      <alignment horizontal="center" vertical="center"/>
    </xf>
    <xf numFmtId="0" fontId="2" fillId="0" borderId="7" xfId="0" applyFont="1" applyBorder="1" applyAlignment="1">
      <alignment horizontal="center" vertical="center"/>
    </xf>
    <xf numFmtId="4" fontId="5"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9" fillId="2" borderId="6" xfId="0" applyNumberFormat="1" applyFont="1" applyFill="1" applyBorder="1" applyAlignment="1">
      <alignment horizontal="center" vertical="center"/>
    </xf>
    <xf numFmtId="4" fontId="9" fillId="2" borderId="4" xfId="0" applyNumberFormat="1" applyFont="1" applyFill="1" applyBorder="1" applyAlignment="1">
      <alignment horizontal="center" vertical="center"/>
    </xf>
    <xf numFmtId="4" fontId="9" fillId="2" borderId="9"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vertical="top"/>
    </xf>
    <xf numFmtId="4" fontId="10" fillId="0" borderId="0" xfId="0" applyNumberFormat="1" applyFont="1" applyBorder="1" applyAlignment="1">
      <alignment horizontal="center" vertical="center"/>
    </xf>
    <xf numFmtId="4" fontId="10" fillId="0" borderId="0"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0" fontId="9" fillId="0" borderId="1" xfId="0" applyFont="1" applyBorder="1" applyAlignment="1">
      <alignment horizontal="left" vertical="top" wrapText="1"/>
    </xf>
    <xf numFmtId="0" fontId="9" fillId="4" borderId="1" xfId="0" applyFont="1" applyFill="1" applyBorder="1" applyAlignment="1">
      <alignment vertical="center" wrapText="1"/>
    </xf>
    <xf numFmtId="4" fontId="10" fillId="2" borderId="3" xfId="0" applyNumberFormat="1" applyFont="1" applyFill="1" applyBorder="1" applyAlignment="1">
      <alignment horizontal="center" vertical="center"/>
    </xf>
    <xf numFmtId="4" fontId="10" fillId="2" borderId="5"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0" fontId="9" fillId="0" borderId="6" xfId="0" applyFont="1" applyBorder="1" applyAlignment="1">
      <alignment horizontal="left" vertical="top" wrapText="1"/>
    </xf>
    <xf numFmtId="4" fontId="9" fillId="0" borderId="11" xfId="0" applyNumberFormat="1" applyFont="1" applyBorder="1" applyAlignment="1">
      <alignment horizontal="center" vertical="center"/>
    </xf>
    <xf numFmtId="4" fontId="9" fillId="0" borderId="12" xfId="0" applyNumberFormat="1" applyFont="1" applyBorder="1" applyAlignment="1">
      <alignment horizontal="center" vertical="center"/>
    </xf>
    <xf numFmtId="4" fontId="9" fillId="0" borderId="9" xfId="0" applyNumberFormat="1" applyFont="1" applyBorder="1" applyAlignment="1">
      <alignment horizontal="center" vertical="center"/>
    </xf>
    <xf numFmtId="4" fontId="9" fillId="0" borderId="17" xfId="0" applyNumberFormat="1" applyFont="1" applyBorder="1" applyAlignment="1">
      <alignment horizontal="center" vertical="center"/>
    </xf>
    <xf numFmtId="4" fontId="10" fillId="0" borderId="16" xfId="0" applyNumberFormat="1" applyFont="1" applyBorder="1" applyAlignment="1">
      <alignment horizontal="center" vertical="center"/>
    </xf>
    <xf numFmtId="4" fontId="10" fillId="0" borderId="15" xfId="0" applyNumberFormat="1" applyFont="1" applyBorder="1" applyAlignment="1">
      <alignment horizontal="center" vertical="center"/>
    </xf>
    <xf numFmtId="0" fontId="9" fillId="0" borderId="1" xfId="0" applyFont="1" applyBorder="1" applyAlignment="1">
      <alignment wrapText="1"/>
    </xf>
    <xf numFmtId="4" fontId="13" fillId="2" borderId="3" xfId="0" applyNumberFormat="1" applyFont="1" applyFill="1" applyBorder="1" applyAlignment="1">
      <alignment horizontal="center" vertical="center"/>
    </xf>
    <xf numFmtId="4" fontId="12" fillId="2" borderId="4" xfId="0" applyNumberFormat="1" applyFont="1" applyFill="1" applyBorder="1" applyAlignment="1">
      <alignment horizontal="center" vertical="center"/>
    </xf>
    <xf numFmtId="4" fontId="13" fillId="2" borderId="5" xfId="0" applyNumberFormat="1" applyFont="1" applyFill="1" applyBorder="1" applyAlignment="1">
      <alignment horizontal="center" vertical="center"/>
    </xf>
    <xf numFmtId="0" fontId="10" fillId="0" borderId="0" xfId="0" applyFont="1" applyBorder="1" applyAlignment="1">
      <alignment horizontal="center" vertical="center" wrapText="1"/>
    </xf>
    <xf numFmtId="0" fontId="2" fillId="0" borderId="0" xfId="0" applyFont="1" applyBorder="1"/>
    <xf numFmtId="0" fontId="9"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3" borderId="1" xfId="0" applyFont="1" applyFill="1" applyBorder="1" applyAlignment="1">
      <alignment horizontal="right" wrapText="1"/>
    </xf>
    <xf numFmtId="0" fontId="10" fillId="3" borderId="1" xfId="0" applyFont="1" applyFill="1" applyBorder="1"/>
    <xf numFmtId="0" fontId="9" fillId="0" borderId="7" xfId="0" applyFont="1" applyBorder="1"/>
    <xf numFmtId="0" fontId="9" fillId="0" borderId="14" xfId="0" applyFont="1" applyBorder="1"/>
    <xf numFmtId="0" fontId="21" fillId="0" borderId="0" xfId="0" applyFont="1"/>
    <xf numFmtId="0" fontId="2" fillId="2" borderId="1" xfId="0" applyFont="1" applyFill="1" applyBorder="1" applyAlignment="1">
      <alignment horizontal="center" vertical="center" wrapText="1"/>
    </xf>
    <xf numFmtId="0" fontId="12" fillId="0" borderId="1" xfId="0" applyFont="1" applyBorder="1" applyAlignment="1">
      <alignment vertical="center" wrapText="1"/>
    </xf>
    <xf numFmtId="4" fontId="14"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3" fillId="0" borderId="1" xfId="0" applyFont="1" applyBorder="1"/>
    <xf numFmtId="4" fontId="3" fillId="0" borderId="1" xfId="0" applyNumberFormat="1" applyFont="1" applyBorder="1" applyAlignment="1">
      <alignment horizontal="center"/>
    </xf>
    <xf numFmtId="0" fontId="12" fillId="0" borderId="1" xfId="0" applyFont="1" applyBorder="1" applyAlignment="1">
      <alignment wrapText="1"/>
    </xf>
    <xf numFmtId="4" fontId="3"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wrapText="1"/>
    </xf>
    <xf numFmtId="4" fontId="2" fillId="2" borderId="0" xfId="0" applyNumberFormat="1" applyFont="1" applyFill="1" applyAlignment="1">
      <alignment horizontal="center" vertical="center"/>
    </xf>
    <xf numFmtId="0" fontId="10" fillId="0" borderId="0" xfId="0" applyFont="1" applyAlignment="1">
      <alignment horizontal="right"/>
    </xf>
    <xf numFmtId="4" fontId="14"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10" fillId="0" borderId="1" xfId="0" applyFont="1" applyBorder="1" applyAlignment="1">
      <alignment vertical="center" wrapText="1"/>
    </xf>
    <xf numFmtId="4" fontId="21" fillId="0" borderId="0" xfId="0" applyNumberFormat="1" applyFont="1"/>
    <xf numFmtId="4" fontId="22" fillId="0" borderId="0" xfId="0" applyNumberFormat="1" applyFont="1"/>
    <xf numFmtId="0" fontId="22" fillId="0" borderId="0" xfId="0" applyFont="1"/>
    <xf numFmtId="0" fontId="10" fillId="4" borderId="1" xfId="0" applyFont="1" applyFill="1" applyBorder="1" applyAlignment="1">
      <alignment horizontal="center" vertical="center" wrapText="1"/>
    </xf>
    <xf numFmtId="1" fontId="2" fillId="2" borderId="1" xfId="0" applyNumberFormat="1" applyFont="1" applyFill="1" applyBorder="1" applyAlignment="1">
      <alignment horizontal="center"/>
    </xf>
    <xf numFmtId="1" fontId="2" fillId="2" borderId="1" xfId="0" applyNumberFormat="1" applyFont="1" applyFill="1" applyBorder="1" applyAlignment="1">
      <alignment horizontal="center" wrapText="1"/>
    </xf>
    <xf numFmtId="3" fontId="9" fillId="2" borderId="1" xfId="0" applyNumberFormat="1" applyFont="1" applyFill="1" applyBorder="1" applyAlignment="1">
      <alignment horizontal="center"/>
    </xf>
    <xf numFmtId="0" fontId="9" fillId="0" borderId="1" xfId="0" applyFont="1" applyBorder="1" applyAlignment="1">
      <alignment horizontal="center"/>
    </xf>
    <xf numFmtId="4" fontId="9" fillId="0" borderId="1" xfId="0" applyNumberFormat="1" applyFont="1" applyBorder="1" applyAlignment="1">
      <alignment horizontal="center"/>
    </xf>
    <xf numFmtId="0" fontId="10" fillId="0" borderId="1" xfId="0" applyFont="1" applyBorder="1" applyAlignment="1">
      <alignment horizontal="left" vertical="center" wrapText="1"/>
    </xf>
    <xf numFmtId="3" fontId="10" fillId="0" borderId="1" xfId="0" applyNumberFormat="1" applyFont="1" applyBorder="1" applyAlignment="1">
      <alignment horizontal="center"/>
    </xf>
    <xf numFmtId="164" fontId="10" fillId="0" borderId="1" xfId="0" applyNumberFormat="1" applyFont="1" applyBorder="1" applyAlignment="1">
      <alignment horizontal="center"/>
    </xf>
    <xf numFmtId="4" fontId="10" fillId="0" borderId="1" xfId="0" applyNumberFormat="1" applyFont="1" applyBorder="1" applyAlignment="1">
      <alignment horizontal="center"/>
    </xf>
    <xf numFmtId="0" fontId="2" fillId="0" borderId="14" xfId="0" applyFont="1" applyBorder="1"/>
    <xf numFmtId="2" fontId="9" fillId="0" borderId="0" xfId="0" applyNumberFormat="1" applyFont="1"/>
    <xf numFmtId="3" fontId="9" fillId="0" borderId="0" xfId="0" applyNumberFormat="1" applyFont="1" applyAlignment="1">
      <alignment horizontal="center" vertical="center"/>
    </xf>
    <xf numFmtId="4" fontId="9" fillId="0" borderId="0" xfId="0" applyNumberFormat="1" applyFont="1" applyAlignment="1">
      <alignment horizontal="center" vertical="center"/>
    </xf>
    <xf numFmtId="2" fontId="10" fillId="0" borderId="0" xfId="0" applyNumberFormat="1" applyFont="1" applyAlignment="1">
      <alignment horizontal="center" vertical="center"/>
    </xf>
    <xf numFmtId="0" fontId="2" fillId="0" borderId="0" xfId="0" applyFont="1" applyAlignment="1">
      <alignment horizontal="right"/>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xf>
    <xf numFmtId="4" fontId="10" fillId="3" borderId="1" xfId="0" applyNumberFormat="1" applyFont="1" applyFill="1" applyBorder="1" applyAlignment="1">
      <alignment horizontal="center"/>
    </xf>
    <xf numFmtId="0" fontId="10" fillId="0" borderId="7" xfId="0" applyFont="1" applyBorder="1"/>
    <xf numFmtId="0" fontId="10" fillId="0" borderId="14" xfId="0" applyFont="1" applyBorder="1"/>
    <xf numFmtId="0" fontId="9" fillId="2" borderId="6" xfId="0" applyFont="1" applyFill="1" applyBorder="1" applyAlignment="1">
      <alignment horizontal="center" vertical="center" wrapText="1"/>
    </xf>
    <xf numFmtId="0" fontId="9" fillId="4" borderId="15" xfId="0"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4" fontId="3" fillId="0" borderId="3" xfId="0" applyNumberFormat="1" applyFont="1" applyBorder="1" applyAlignment="1">
      <alignment horizontal="center" vertical="center"/>
    </xf>
    <xf numFmtId="0" fontId="12" fillId="2" borderId="1" xfId="0" applyFont="1" applyFill="1" applyBorder="1" applyAlignment="1">
      <alignment horizontal="center"/>
    </xf>
    <xf numFmtId="2" fontId="12" fillId="2" borderId="1" xfId="0" applyNumberFormat="1" applyFont="1" applyFill="1" applyBorder="1" applyAlignment="1">
      <alignment horizontal="center"/>
    </xf>
    <xf numFmtId="0" fontId="9" fillId="2" borderId="1" xfId="0" applyFont="1" applyFill="1" applyBorder="1" applyAlignment="1">
      <alignment horizontal="center"/>
    </xf>
    <xf numFmtId="2" fontId="9" fillId="2" borderId="1" xfId="0" applyNumberFormat="1" applyFont="1" applyFill="1" applyBorder="1" applyAlignment="1">
      <alignment horizontal="center"/>
    </xf>
    <xf numFmtId="4" fontId="10" fillId="0" borderId="1" xfId="0" applyNumberFormat="1" applyFont="1" applyBorder="1" applyAlignment="1">
      <alignment horizontal="center" vertical="center"/>
    </xf>
    <xf numFmtId="4" fontId="9" fillId="2" borderId="0" xfId="0" applyNumberFormat="1" applyFont="1" applyFill="1" applyAlignment="1">
      <alignment horizontal="center" vertical="center"/>
    </xf>
    <xf numFmtId="4" fontId="10" fillId="0" borderId="0" xfId="0" applyNumberFormat="1" applyFont="1" applyAlignment="1">
      <alignment horizontal="center" vertical="center"/>
    </xf>
    <xf numFmtId="4" fontId="10" fillId="2" borderId="1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xf>
    <xf numFmtId="4" fontId="3" fillId="0" borderId="5" xfId="0" applyNumberFormat="1" applyFont="1" applyBorder="1" applyAlignment="1">
      <alignment horizontal="center" vertical="center"/>
    </xf>
    <xf numFmtId="4" fontId="10" fillId="2" borderId="1" xfId="0" applyNumberFormat="1" applyFont="1" applyFill="1" applyBorder="1" applyAlignment="1">
      <alignment horizontal="center" vertical="center"/>
    </xf>
    <xf numFmtId="4" fontId="10" fillId="2" borderId="2"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4" xfId="0" applyNumberFormat="1" applyFont="1" applyFill="1" applyBorder="1" applyAlignment="1">
      <alignment horizontal="center" vertical="center"/>
    </xf>
    <xf numFmtId="4" fontId="10" fillId="2" borderId="28" xfId="0" applyNumberFormat="1" applyFont="1" applyFill="1" applyBorder="1" applyAlignment="1">
      <alignment horizontal="center" vertical="center"/>
    </xf>
    <xf numFmtId="0" fontId="9" fillId="0" borderId="0" xfId="0" applyFont="1" applyAlignment="1">
      <alignment horizontal="center"/>
    </xf>
    <xf numFmtId="1"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0" fontId="2" fillId="0" borderId="0" xfId="0" applyFont="1" applyAlignment="1">
      <alignment horizontal="right" shrinkToFi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4"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2" fontId="2" fillId="0" borderId="0" xfId="0" applyNumberFormat="1" applyFont="1" applyAlignment="1">
      <alignment wrapText="1"/>
    </xf>
    <xf numFmtId="0" fontId="20" fillId="0" borderId="0" xfId="0" applyFont="1"/>
    <xf numFmtId="2" fontId="10" fillId="0" borderId="29" xfId="0" applyNumberFormat="1" applyFont="1" applyBorder="1" applyAlignment="1">
      <alignment horizontal="center" vertical="center"/>
    </xf>
    <xf numFmtId="2" fontId="10" fillId="0" borderId="30" xfId="0" applyNumberFormat="1" applyFont="1" applyBorder="1" applyAlignment="1">
      <alignment horizontal="center" vertical="center"/>
    </xf>
    <xf numFmtId="0" fontId="9" fillId="0" borderId="13" xfId="0" applyFont="1" applyBorder="1" applyAlignment="1">
      <alignment horizontal="center" vertical="center"/>
    </xf>
    <xf numFmtId="2" fontId="10" fillId="0" borderId="31" xfId="0" applyNumberFormat="1" applyFont="1" applyBorder="1" applyAlignment="1">
      <alignment horizontal="center" vertical="center"/>
    </xf>
    <xf numFmtId="0" fontId="10" fillId="0" borderId="0" xfId="0" applyFont="1" applyAlignment="1">
      <alignment wrapText="1"/>
    </xf>
    <xf numFmtId="0" fontId="17" fillId="0" borderId="0" xfId="0" applyFont="1"/>
    <xf numFmtId="0" fontId="2" fillId="0" borderId="0" xfId="2" applyFont="1"/>
    <xf numFmtId="0" fontId="3" fillId="4" borderId="1" xfId="2" applyFont="1" applyFill="1" applyBorder="1" applyAlignment="1">
      <alignment horizontal="center" vertical="center" wrapText="1"/>
    </xf>
    <xf numFmtId="0" fontId="6" fillId="4" borderId="1" xfId="2" applyFont="1" applyFill="1" applyBorder="1" applyAlignment="1">
      <alignment horizontal="center" vertical="center"/>
    </xf>
    <xf numFmtId="0" fontId="10" fillId="3" borderId="1" xfId="2" applyFont="1" applyFill="1" applyBorder="1" applyAlignment="1">
      <alignment horizontal="center" vertical="center" wrapText="1"/>
    </xf>
    <xf numFmtId="4" fontId="10" fillId="3" borderId="1" xfId="2" applyNumberFormat="1" applyFont="1" applyFill="1" applyBorder="1" applyAlignment="1">
      <alignment horizontal="center" vertical="center"/>
    </xf>
    <xf numFmtId="0" fontId="9" fillId="3" borderId="1" xfId="2" applyFont="1" applyFill="1" applyBorder="1" applyAlignment="1">
      <alignment horizontal="left"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2" fontId="9" fillId="0" borderId="1" xfId="2" applyNumberFormat="1" applyFont="1" applyBorder="1" applyAlignment="1">
      <alignment horizontal="center" vertical="center"/>
    </xf>
    <xf numFmtId="0" fontId="9" fillId="0" borderId="1" xfId="2" applyFont="1" applyBorder="1" applyAlignment="1">
      <alignment vertical="center" wrapText="1"/>
    </xf>
    <xf numFmtId="0" fontId="9" fillId="0" borderId="1" xfId="2" applyFont="1" applyBorder="1" applyAlignment="1">
      <alignment horizontal="left" vertical="center" wrapText="1"/>
    </xf>
    <xf numFmtId="0" fontId="9" fillId="2" borderId="1" xfId="2" applyFont="1" applyFill="1" applyBorder="1" applyAlignment="1">
      <alignment horizontal="center" vertical="center" wrapText="1"/>
    </xf>
    <xf numFmtId="2" fontId="2" fillId="0" borderId="0" xfId="2" applyNumberFormat="1" applyFont="1"/>
    <xf numFmtId="0" fontId="9" fillId="2" borderId="1" xfId="2" applyFont="1" applyFill="1" applyBorder="1" applyAlignment="1">
      <alignment horizontal="center" vertical="center"/>
    </xf>
    <xf numFmtId="0" fontId="9" fillId="3" borderId="1" xfId="2" applyFont="1" applyFill="1" applyBorder="1" applyAlignment="1">
      <alignment horizontal="center" vertical="center"/>
    </xf>
    <xf numFmtId="0" fontId="9" fillId="3" borderId="1" xfId="2" applyFont="1" applyFill="1" applyBorder="1" applyAlignment="1">
      <alignment horizontal="left" vertical="center"/>
    </xf>
    <xf numFmtId="0" fontId="10" fillId="3" borderId="1" xfId="2" applyFont="1" applyFill="1" applyBorder="1" applyAlignment="1">
      <alignment horizontal="right" wrapText="1"/>
    </xf>
    <xf numFmtId="0" fontId="10" fillId="3" borderId="1" xfId="2" applyFont="1" applyFill="1" applyBorder="1"/>
    <xf numFmtId="0" fontId="9" fillId="0" borderId="7" xfId="2" applyFont="1" applyBorder="1"/>
    <xf numFmtId="0" fontId="9" fillId="0" borderId="14" xfId="2" applyFont="1" applyBorder="1"/>
    <xf numFmtId="0" fontId="27" fillId="0" borderId="0" xfId="2"/>
    <xf numFmtId="0" fontId="18" fillId="0" borderId="1" xfId="2" applyFont="1" applyBorder="1"/>
    <xf numFmtId="0" fontId="19" fillId="0" borderId="1" xfId="2" applyFont="1" applyBorder="1" applyAlignment="1">
      <alignment wrapText="1"/>
    </xf>
    <xf numFmtId="2" fontId="18" fillId="0" borderId="1" xfId="2" applyNumberFormat="1" applyFont="1" applyBorder="1" applyAlignment="1">
      <alignment horizontal="center"/>
    </xf>
    <xf numFmtId="4" fontId="18" fillId="0" borderId="1" xfId="2" applyNumberFormat="1" applyFont="1" applyBorder="1" applyAlignment="1">
      <alignment horizontal="center"/>
    </xf>
    <xf numFmtId="2" fontId="19" fillId="0" borderId="1" xfId="2" applyNumberFormat="1" applyFont="1" applyBorder="1" applyAlignment="1">
      <alignment horizontal="center"/>
    </xf>
    <xf numFmtId="0" fontId="3" fillId="4" borderId="1" xfId="2" applyFont="1" applyFill="1" applyBorder="1" applyAlignment="1">
      <alignment horizontal="center" vertical="center"/>
    </xf>
    <xf numFmtId="0" fontId="10" fillId="4" borderId="1" xfId="2" applyFont="1" applyFill="1" applyBorder="1" applyAlignment="1">
      <alignment horizontal="center" vertical="center" wrapText="1"/>
    </xf>
    <xf numFmtId="1" fontId="2" fillId="2" borderId="1" xfId="2" applyNumberFormat="1" applyFont="1" applyFill="1" applyBorder="1" applyAlignment="1">
      <alignment horizontal="center"/>
    </xf>
    <xf numFmtId="1" fontId="2" fillId="2" borderId="1" xfId="2" applyNumberFormat="1" applyFont="1" applyFill="1" applyBorder="1" applyAlignment="1">
      <alignment horizontal="center" wrapText="1"/>
    </xf>
    <xf numFmtId="3" fontId="9" fillId="2" borderId="1" xfId="2" applyNumberFormat="1" applyFont="1" applyFill="1" applyBorder="1" applyAlignment="1">
      <alignment horizontal="center"/>
    </xf>
    <xf numFmtId="0" fontId="9" fillId="0" borderId="1" xfId="2" applyFont="1" applyBorder="1" applyAlignment="1">
      <alignment horizontal="center"/>
    </xf>
    <xf numFmtId="4" fontId="9" fillId="0" borderId="1" xfId="2" applyNumberFormat="1" applyFont="1" applyBorder="1" applyAlignment="1">
      <alignment horizontal="center"/>
    </xf>
    <xf numFmtId="0" fontId="10" fillId="0" borderId="1" xfId="2" applyFont="1" applyBorder="1" applyAlignment="1">
      <alignment horizontal="left" vertical="center" wrapText="1"/>
    </xf>
    <xf numFmtId="3" fontId="10" fillId="0" borderId="1" xfId="2" applyNumberFormat="1" applyFont="1" applyBorder="1" applyAlignment="1">
      <alignment horizontal="center"/>
    </xf>
    <xf numFmtId="2" fontId="10" fillId="0" borderId="1" xfId="2" applyNumberFormat="1" applyFont="1" applyBorder="1" applyAlignment="1">
      <alignment horizontal="center"/>
    </xf>
    <xf numFmtId="4" fontId="10" fillId="0" borderId="1" xfId="2" applyNumberFormat="1" applyFont="1" applyBorder="1" applyAlignment="1">
      <alignment horizontal="center"/>
    </xf>
    <xf numFmtId="0" fontId="2" fillId="0" borderId="14" xfId="2" applyFont="1" applyBorder="1"/>
    <xf numFmtId="0" fontId="9" fillId="0" borderId="0" xfId="2" applyFont="1"/>
    <xf numFmtId="0" fontId="9" fillId="0" borderId="0" xfId="2" applyFont="1" applyAlignment="1">
      <alignment wrapText="1"/>
    </xf>
    <xf numFmtId="0" fontId="9" fillId="4" borderId="1" xfId="2" applyFont="1" applyFill="1" applyBorder="1" applyAlignment="1">
      <alignment horizontal="center" vertical="center" wrapText="1"/>
    </xf>
    <xf numFmtId="0" fontId="9" fillId="4" borderId="1" xfId="2" applyFont="1" applyFill="1" applyBorder="1" applyAlignment="1">
      <alignment horizontal="center" wrapText="1"/>
    </xf>
    <xf numFmtId="0" fontId="9" fillId="4" borderId="1" xfId="2" applyFont="1" applyFill="1" applyBorder="1" applyAlignment="1">
      <alignment horizontal="center" vertical="center"/>
    </xf>
    <xf numFmtId="0" fontId="9" fillId="0" borderId="1" xfId="2" applyFont="1" applyBorder="1"/>
    <xf numFmtId="4" fontId="9" fillId="0" borderId="1" xfId="2" applyNumberFormat="1" applyFont="1" applyBorder="1" applyAlignment="1">
      <alignment horizontal="center" vertical="center"/>
    </xf>
    <xf numFmtId="2" fontId="9" fillId="0" borderId="0" xfId="2" applyNumberFormat="1" applyFont="1"/>
    <xf numFmtId="0" fontId="9" fillId="0" borderId="0" xfId="2" applyFont="1" applyAlignment="1">
      <alignment horizontal="center" vertical="center"/>
    </xf>
    <xf numFmtId="3" fontId="9" fillId="0" borderId="0" xfId="2" applyNumberFormat="1" applyFont="1" applyAlignment="1">
      <alignment horizontal="center" vertical="center"/>
    </xf>
    <xf numFmtId="4" fontId="9" fillId="0" borderId="0" xfId="2" applyNumberFormat="1" applyFont="1" applyAlignment="1">
      <alignment horizontal="center" vertical="center"/>
    </xf>
    <xf numFmtId="2" fontId="10" fillId="0" borderId="0" xfId="2" applyNumberFormat="1" applyFont="1" applyAlignment="1">
      <alignment horizontal="center" vertical="center"/>
    </xf>
    <xf numFmtId="0" fontId="28" fillId="0" borderId="0" xfId="3"/>
    <xf numFmtId="0" fontId="3" fillId="4" borderId="1" xfId="4" applyFont="1" applyFill="1" applyBorder="1" applyAlignment="1">
      <alignment horizontal="center" vertical="center" wrapText="1"/>
    </xf>
    <xf numFmtId="0" fontId="10" fillId="4" borderId="1" xfId="4" applyFont="1" applyFill="1" applyBorder="1" applyAlignment="1">
      <alignment horizontal="center" vertical="center" wrapText="1"/>
    </xf>
    <xf numFmtId="0" fontId="9" fillId="0" borderId="1" xfId="4" applyFont="1" applyBorder="1" applyAlignment="1">
      <alignment vertical="center" wrapText="1"/>
    </xf>
    <xf numFmtId="2" fontId="9" fillId="0" borderId="1" xfId="4" applyNumberFormat="1" applyFont="1" applyBorder="1" applyAlignment="1">
      <alignment horizontal="center" vertical="center"/>
    </xf>
    <xf numFmtId="1" fontId="9" fillId="0" borderId="1" xfId="4" applyNumberFormat="1" applyFont="1" applyBorder="1" applyAlignment="1">
      <alignment horizontal="center" vertical="center"/>
    </xf>
    <xf numFmtId="4" fontId="9" fillId="0" borderId="1" xfId="4" applyNumberFormat="1" applyFont="1" applyBorder="1" applyAlignment="1">
      <alignment horizontal="center" vertical="center"/>
    </xf>
    <xf numFmtId="4" fontId="26" fillId="2" borderId="1" xfId="4" applyNumberFormat="1" applyFont="1" applyFill="1" applyBorder="1" applyAlignment="1">
      <alignment horizontal="left" vertical="center" wrapText="1"/>
    </xf>
    <xf numFmtId="0" fontId="2" fillId="0" borderId="1" xfId="4" applyFont="1" applyBorder="1" applyAlignment="1">
      <alignment vertical="center" wrapText="1"/>
    </xf>
    <xf numFmtId="2" fontId="32" fillId="0" borderId="1" xfId="4" applyNumberFormat="1" applyFont="1" applyBorder="1" applyAlignment="1">
      <alignment horizontal="center" vertical="center"/>
    </xf>
    <xf numFmtId="4" fontId="2" fillId="2" borderId="1" xfId="4" applyNumberFormat="1" applyFont="1" applyFill="1" applyBorder="1" applyAlignment="1">
      <alignment horizontal="left" wrapText="1"/>
    </xf>
    <xf numFmtId="4" fontId="10" fillId="4" borderId="1" xfId="4" applyNumberFormat="1" applyFont="1" applyFill="1" applyBorder="1" applyAlignment="1">
      <alignment horizontal="center"/>
    </xf>
    <xf numFmtId="4" fontId="2" fillId="4" borderId="1" xfId="4" applyNumberFormat="1" applyFont="1" applyFill="1" applyBorder="1" applyAlignment="1">
      <alignment horizontal="left" wrapText="1"/>
    </xf>
    <xf numFmtId="0" fontId="3" fillId="0" borderId="0" xfId="4" applyFont="1" applyBorder="1" applyAlignment="1">
      <alignment horizontal="right" wrapText="1"/>
    </xf>
    <xf numFmtId="4" fontId="2" fillId="0" borderId="0" xfId="4" applyNumberFormat="1" applyFont="1" applyBorder="1" applyAlignment="1">
      <alignment horizontal="center"/>
    </xf>
    <xf numFmtId="4" fontId="2" fillId="0" borderId="0" xfId="4" applyNumberFormat="1" applyFont="1" applyBorder="1" applyAlignment="1">
      <alignment horizontal="left" wrapText="1"/>
    </xf>
    <xf numFmtId="0" fontId="2" fillId="0" borderId="0" xfId="3" applyFont="1"/>
    <xf numFmtId="0" fontId="29" fillId="0" borderId="0" xfId="3" applyFont="1" applyAlignment="1">
      <alignment horizontal="right" vertical="center"/>
    </xf>
    <xf numFmtId="0" fontId="10" fillId="4" borderId="1" xfId="3" applyFont="1" applyFill="1" applyBorder="1" applyAlignment="1">
      <alignment horizontal="center" vertical="center"/>
    </xf>
    <xf numFmtId="0" fontId="10" fillId="4" borderId="1" xfId="3" applyFont="1" applyFill="1" applyBorder="1" applyAlignment="1">
      <alignment horizontal="center" vertical="center" wrapText="1"/>
    </xf>
    <xf numFmtId="0" fontId="9" fillId="0" borderId="1" xfId="3" applyFont="1" applyBorder="1" applyAlignment="1">
      <alignment wrapText="1"/>
    </xf>
    <xf numFmtId="43" fontId="9" fillId="0" borderId="1" xfId="5" applyFont="1" applyFill="1" applyBorder="1" applyAlignment="1"/>
    <xf numFmtId="0" fontId="34" fillId="0" borderId="0" xfId="3" applyFont="1"/>
    <xf numFmtId="0" fontId="10" fillId="4" borderId="1" xfId="3" applyFont="1" applyFill="1" applyBorder="1"/>
    <xf numFmtId="43" fontId="9" fillId="4" borderId="1" xfId="5" applyFont="1" applyFill="1" applyBorder="1" applyAlignment="1"/>
    <xf numFmtId="43" fontId="10" fillId="4" borderId="1" xfId="5" applyFont="1" applyFill="1" applyBorder="1" applyAlignment="1"/>
    <xf numFmtId="0" fontId="35" fillId="0" borderId="0" xfId="3" applyFont="1"/>
    <xf numFmtId="0" fontId="37" fillId="0" borderId="0" xfId="3" applyFont="1" applyAlignment="1">
      <alignment horizontal="left" wrapText="1"/>
    </xf>
    <xf numFmtId="0" fontId="36" fillId="0" borderId="0" xfId="3" applyFont="1"/>
    <xf numFmtId="0" fontId="39" fillId="0" borderId="0" xfId="3" applyFont="1"/>
    <xf numFmtId="0" fontId="36" fillId="6" borderId="32" xfId="3" applyFont="1" applyFill="1" applyBorder="1" applyAlignment="1">
      <alignment horizontal="center" vertical="center" wrapText="1"/>
    </xf>
    <xf numFmtId="0" fontId="36" fillId="6" borderId="33" xfId="3" applyFont="1" applyFill="1" applyBorder="1" applyAlignment="1">
      <alignment horizontal="center" vertical="center" wrapText="1"/>
    </xf>
    <xf numFmtId="0" fontId="36" fillId="6" borderId="34" xfId="3" applyFont="1" applyFill="1" applyBorder="1" applyAlignment="1">
      <alignment horizontal="center" vertical="center" wrapText="1"/>
    </xf>
    <xf numFmtId="0" fontId="36" fillId="6" borderId="1" xfId="3" applyFont="1" applyFill="1" applyBorder="1" applyAlignment="1">
      <alignment horizontal="center" vertical="center" wrapText="1"/>
    </xf>
    <xf numFmtId="0" fontId="39" fillId="0" borderId="0" xfId="3" applyFont="1" applyAlignment="1">
      <alignment horizontal="center" vertical="center" wrapText="1"/>
    </xf>
    <xf numFmtId="0" fontId="36" fillId="6" borderId="2" xfId="3" applyFont="1" applyFill="1" applyBorder="1" applyAlignment="1">
      <alignment horizontal="center" vertical="center" wrapText="1"/>
    </xf>
    <xf numFmtId="0" fontId="36" fillId="6" borderId="35" xfId="3" applyFont="1" applyFill="1" applyBorder="1" applyAlignment="1">
      <alignment horizontal="center" vertical="center" wrapText="1"/>
    </xf>
    <xf numFmtId="0" fontId="39" fillId="0" borderId="36" xfId="3" applyFont="1" applyBorder="1" applyAlignment="1">
      <alignment horizontal="center" vertical="center"/>
    </xf>
    <xf numFmtId="0" fontId="39" fillId="0" borderId="37" xfId="4" applyFont="1" applyBorder="1" applyAlignment="1">
      <alignment vertical="center" wrapText="1"/>
    </xf>
    <xf numFmtId="3" fontId="39" fillId="0" borderId="34" xfId="3" applyNumberFormat="1" applyFont="1" applyBorder="1" applyAlignment="1">
      <alignment horizontal="center" vertical="center"/>
    </xf>
    <xf numFmtId="3" fontId="39" fillId="0" borderId="1" xfId="3" applyNumberFormat="1" applyFont="1" applyBorder="1" applyAlignment="1">
      <alignment horizontal="center" vertical="center"/>
    </xf>
    <xf numFmtId="0" fontId="39" fillId="0" borderId="0" xfId="3" applyFont="1" applyAlignment="1">
      <alignment horizontal="center" vertical="center"/>
    </xf>
    <xf numFmtId="4" fontId="39" fillId="0" borderId="34" xfId="3" applyNumberFormat="1" applyFont="1" applyBorder="1" applyAlignment="1">
      <alignment horizontal="center" vertical="center"/>
    </xf>
    <xf numFmtId="4" fontId="39" fillId="0" borderId="1" xfId="3" applyNumberFormat="1" applyFont="1" applyBorder="1" applyAlignment="1">
      <alignment horizontal="center" vertical="center"/>
    </xf>
    <xf numFmtId="4" fontId="39" fillId="0" borderId="2" xfId="3" applyNumberFormat="1" applyFont="1" applyBorder="1" applyAlignment="1">
      <alignment horizontal="center" vertical="center"/>
    </xf>
    <xf numFmtId="4" fontId="39" fillId="0" borderId="38" xfId="3" applyNumberFormat="1" applyFont="1" applyBorder="1" applyAlignment="1">
      <alignment horizontal="center" vertical="center"/>
    </xf>
    <xf numFmtId="0" fontId="39" fillId="0" borderId="37" xfId="4" applyFont="1" applyBorder="1" applyAlignment="1">
      <alignment horizontal="left" vertical="center" wrapText="1"/>
    </xf>
    <xf numFmtId="0" fontId="39" fillId="7" borderId="36" xfId="3" applyFont="1" applyFill="1" applyBorder="1" applyAlignment="1">
      <alignment horizontal="center" vertical="center"/>
    </xf>
    <xf numFmtId="0" fontId="39" fillId="7" borderId="37" xfId="4" applyFont="1" applyFill="1" applyBorder="1" applyAlignment="1">
      <alignment vertical="center" wrapText="1"/>
    </xf>
    <xf numFmtId="3" fontId="39" fillId="7" borderId="34" xfId="3" applyNumberFormat="1" applyFont="1" applyFill="1" applyBorder="1" applyAlignment="1">
      <alignment horizontal="center" vertical="center"/>
    </xf>
    <xf numFmtId="0" fontId="39" fillId="2" borderId="0" xfId="3" applyFont="1" applyFill="1" applyAlignment="1">
      <alignment horizontal="center" vertical="center"/>
    </xf>
    <xf numFmtId="4" fontId="39" fillId="7" borderId="34" xfId="3" applyNumberFormat="1" applyFont="1" applyFill="1" applyBorder="1" applyAlignment="1">
      <alignment horizontal="center" vertical="center"/>
    </xf>
    <xf numFmtId="4" fontId="39" fillId="7" borderId="1" xfId="3" applyNumberFormat="1" applyFont="1" applyFill="1" applyBorder="1" applyAlignment="1">
      <alignment horizontal="center" vertical="center"/>
    </xf>
    <xf numFmtId="0" fontId="39" fillId="7" borderId="37" xfId="3" applyFont="1" applyFill="1" applyBorder="1" applyAlignment="1">
      <alignment vertical="center" wrapText="1"/>
    </xf>
    <xf numFmtId="3" fontId="39" fillId="7" borderId="1" xfId="3" applyNumberFormat="1" applyFont="1" applyFill="1" applyBorder="1" applyAlignment="1">
      <alignment horizontal="center" vertical="center"/>
    </xf>
    <xf numFmtId="0" fontId="36" fillId="8" borderId="39" xfId="3" applyFont="1" applyFill="1" applyBorder="1" applyAlignment="1">
      <alignment horizontal="center" vertical="center"/>
    </xf>
    <xf numFmtId="0" fontId="36" fillId="8" borderId="40" xfId="3" applyFont="1" applyFill="1" applyBorder="1" applyAlignment="1">
      <alignment horizontal="right" wrapText="1"/>
    </xf>
    <xf numFmtId="3" fontId="36" fillId="8" borderId="34" xfId="3" applyNumberFormat="1" applyFont="1" applyFill="1" applyBorder="1" applyAlignment="1">
      <alignment horizontal="center" vertical="center"/>
    </xf>
    <xf numFmtId="0" fontId="39" fillId="9" borderId="0" xfId="3" applyFont="1" applyFill="1" applyAlignment="1">
      <alignment horizontal="center" vertical="center"/>
    </xf>
    <xf numFmtId="4" fontId="36" fillId="8" borderId="34" xfId="3" applyNumberFormat="1" applyFont="1" applyFill="1" applyBorder="1" applyAlignment="1">
      <alignment horizontal="center" vertical="center"/>
    </xf>
    <xf numFmtId="4" fontId="36" fillId="8" borderId="1" xfId="3" applyNumberFormat="1" applyFont="1" applyFill="1" applyBorder="1" applyAlignment="1">
      <alignment horizontal="center" vertical="center"/>
    </xf>
    <xf numFmtId="4" fontId="36" fillId="9" borderId="2" xfId="3" applyNumberFormat="1" applyFont="1" applyFill="1" applyBorder="1" applyAlignment="1">
      <alignment horizontal="center" vertical="center"/>
    </xf>
    <xf numFmtId="4" fontId="36" fillId="9" borderId="38" xfId="3" applyNumberFormat="1" applyFont="1" applyFill="1" applyBorder="1" applyAlignment="1">
      <alignment horizontal="center" vertical="center"/>
    </xf>
    <xf numFmtId="2" fontId="39" fillId="0" borderId="0" xfId="3" applyNumberFormat="1" applyFont="1" applyAlignment="1">
      <alignment vertical="top"/>
    </xf>
    <xf numFmtId="2" fontId="40" fillId="0" borderId="0" xfId="3" applyNumberFormat="1" applyFont="1" applyAlignment="1">
      <alignment vertical="top"/>
    </xf>
    <xf numFmtId="0" fontId="36" fillId="0" borderId="0" xfId="3" applyFont="1" applyAlignment="1">
      <alignment horizontal="left" vertical="center"/>
    </xf>
    <xf numFmtId="0" fontId="36" fillId="6" borderId="42" xfId="3" applyFont="1" applyFill="1" applyBorder="1" applyAlignment="1">
      <alignment horizontal="center" vertical="center" wrapText="1"/>
    </xf>
    <xf numFmtId="0" fontId="39" fillId="0" borderId="42" xfId="3" applyFont="1" applyBorder="1" applyAlignment="1">
      <alignment horizontal="center"/>
    </xf>
    <xf numFmtId="0" fontId="39" fillId="0" borderId="42" xfId="4" applyFont="1" applyBorder="1" applyAlignment="1">
      <alignment wrapText="1"/>
    </xf>
    <xf numFmtId="3" fontId="39" fillId="0" borderId="34" xfId="3" applyNumberFormat="1" applyFont="1" applyBorder="1" applyAlignment="1">
      <alignment horizontal="center"/>
    </xf>
    <xf numFmtId="3" fontId="39" fillId="0" borderId="2" xfId="3" applyNumberFormat="1" applyFont="1" applyBorder="1" applyAlignment="1">
      <alignment horizontal="center"/>
    </xf>
    <xf numFmtId="3" fontId="39" fillId="0" borderId="1" xfId="3" applyNumberFormat="1" applyFont="1" applyBorder="1" applyAlignment="1">
      <alignment horizontal="center"/>
    </xf>
    <xf numFmtId="0" fontId="39" fillId="0" borderId="42" xfId="4" applyFont="1" applyBorder="1" applyAlignment="1">
      <alignment horizontal="left" wrapText="1"/>
    </xf>
    <xf numFmtId="4" fontId="39" fillId="0" borderId="34" xfId="3" applyNumberFormat="1" applyFont="1" applyBorder="1" applyAlignment="1">
      <alignment horizontal="center"/>
    </xf>
    <xf numFmtId="4" fontId="39" fillId="0" borderId="1" xfId="3" applyNumberFormat="1" applyFont="1" applyBorder="1" applyAlignment="1">
      <alignment horizontal="center"/>
    </xf>
    <xf numFmtId="0" fontId="37" fillId="0" borderId="0" xfId="3" applyFont="1" applyAlignment="1">
      <alignment horizontal="left" vertical="top" wrapText="1"/>
    </xf>
    <xf numFmtId="0" fontId="36" fillId="6" borderId="1" xfId="3" applyFont="1" applyFill="1" applyBorder="1" applyAlignment="1">
      <alignment vertical="center" wrapText="1"/>
    </xf>
    <xf numFmtId="0" fontId="39" fillId="0" borderId="1" xfId="3" applyFont="1" applyBorder="1" applyAlignment="1">
      <alignment horizontal="center" vertical="center"/>
    </xf>
    <xf numFmtId="0" fontId="39" fillId="0" borderId="1" xfId="4" applyFont="1" applyBorder="1" applyAlignment="1">
      <alignment horizontal="left" wrapText="1"/>
    </xf>
    <xf numFmtId="4" fontId="39" fillId="0" borderId="1" xfId="3" applyNumberFormat="1" applyFont="1" applyBorder="1" applyAlignment="1">
      <alignment horizontal="right"/>
    </xf>
    <xf numFmtId="0" fontId="39" fillId="0" borderId="6" xfId="3" applyFont="1" applyBorder="1" applyAlignment="1">
      <alignment horizontal="center" vertical="center"/>
    </xf>
    <xf numFmtId="0" fontId="36" fillId="0" borderId="6" xfId="4" applyFont="1" applyBorder="1" applyAlignment="1">
      <alignment wrapText="1"/>
    </xf>
    <xf numFmtId="4" fontId="36" fillId="0" borderId="6" xfId="3" applyNumberFormat="1" applyFont="1" applyBorder="1" applyAlignment="1">
      <alignment horizontal="right"/>
    </xf>
    <xf numFmtId="0" fontId="39" fillId="10" borderId="44" xfId="3" applyFont="1" applyFill="1" applyBorder="1" applyAlignment="1">
      <alignment horizontal="center" vertical="center"/>
    </xf>
    <xf numFmtId="0" fontId="36" fillId="10" borderId="45" xfId="4" applyFont="1" applyFill="1" applyBorder="1" applyAlignment="1">
      <alignment horizontal="right" wrapText="1"/>
    </xf>
    <xf numFmtId="0" fontId="34" fillId="12" borderId="0" xfId="3" applyFont="1" applyFill="1" applyAlignment="1">
      <alignment horizontal="left" wrapText="1"/>
    </xf>
    <xf numFmtId="0" fontId="34" fillId="12" borderId="0" xfId="3" applyFont="1" applyFill="1"/>
    <xf numFmtId="0" fontId="41" fillId="0" borderId="0" xfId="3" applyFont="1" applyAlignment="1">
      <alignment horizontal="left" vertical="center"/>
    </xf>
    <xf numFmtId="4" fontId="2" fillId="2" borderId="1" xfId="4" applyNumberFormat="1" applyFont="1" applyFill="1" applyBorder="1" applyAlignment="1">
      <alignment horizontal="left" vertical="center" wrapText="1"/>
    </xf>
    <xf numFmtId="0" fontId="39" fillId="0" borderId="1" xfId="3" applyFont="1" applyBorder="1" applyAlignment="1">
      <alignment wrapText="1"/>
    </xf>
    <xf numFmtId="0" fontId="28" fillId="4" borderId="1" xfId="3" applyFill="1" applyBorder="1"/>
    <xf numFmtId="0" fontId="2" fillId="0" borderId="0" xfId="4" applyFont="1" applyBorder="1" applyAlignment="1">
      <alignment vertical="center" wrapText="1"/>
    </xf>
    <xf numFmtId="0" fontId="43" fillId="5" borderId="16" xfId="6" applyFill="1" applyBorder="1"/>
    <xf numFmtId="0" fontId="17" fillId="0" borderId="1" xfId="0" applyFont="1" applyBorder="1" applyAlignment="1">
      <alignment horizontal="center"/>
    </xf>
    <xf numFmtId="0" fontId="17" fillId="0" borderId="1" xfId="0" applyFont="1" applyBorder="1"/>
    <xf numFmtId="2" fontId="9" fillId="2" borderId="1" xfId="2" applyNumberFormat="1" applyFont="1" applyFill="1" applyBorder="1" applyAlignment="1">
      <alignment horizontal="center" vertical="center"/>
    </xf>
    <xf numFmtId="4" fontId="14" fillId="2" borderId="3" xfId="0" applyNumberFormat="1" applyFont="1" applyFill="1" applyBorder="1" applyAlignment="1">
      <alignment horizontal="center" vertical="center"/>
    </xf>
    <xf numFmtId="165" fontId="2" fillId="0" borderId="0" xfId="0" applyNumberFormat="1" applyFont="1"/>
    <xf numFmtId="0" fontId="2" fillId="0" borderId="14" xfId="0" applyFont="1" applyBorder="1" applyAlignment="1">
      <alignment horizontal="center" vertical="center"/>
    </xf>
    <xf numFmtId="0" fontId="18" fillId="0" borderId="1" xfId="2" applyFont="1" applyBorder="1" applyAlignment="1">
      <alignment horizontal="center"/>
    </xf>
    <xf numFmtId="0" fontId="9" fillId="0" borderId="1" xfId="0" applyFont="1" applyFill="1" applyBorder="1" applyAlignment="1">
      <alignment horizontal="center" vertical="center"/>
    </xf>
    <xf numFmtId="165" fontId="2" fillId="0" borderId="0" xfId="2" applyNumberFormat="1" applyFont="1"/>
    <xf numFmtId="4" fontId="3" fillId="3" borderId="13" xfId="0" applyNumberFormat="1" applyFont="1" applyFill="1" applyBorder="1" applyAlignment="1">
      <alignment horizontal="center" vertical="center"/>
    </xf>
    <xf numFmtId="0" fontId="3" fillId="3" borderId="13" xfId="0" applyFont="1" applyFill="1" applyBorder="1" applyAlignment="1">
      <alignment horizontal="center" wrapText="1"/>
    </xf>
    <xf numFmtId="0" fontId="2" fillId="3" borderId="13" xfId="0" applyFont="1" applyFill="1" applyBorder="1" applyAlignment="1">
      <alignment horizontal="center" vertical="center" wrapText="1"/>
    </xf>
    <xf numFmtId="0" fontId="2" fillId="3" borderId="13" xfId="0" applyFont="1" applyFill="1" applyBorder="1" applyAlignment="1">
      <alignment wrapText="1"/>
    </xf>
    <xf numFmtId="2" fontId="2" fillId="0" borderId="1" xfId="0" applyNumberFormat="1" applyFont="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4" fontId="3" fillId="3" borderId="1" xfId="0" applyNumberFormat="1" applyFont="1" applyFill="1" applyBorder="1" applyAlignment="1">
      <alignment horizontal="center" vertical="center"/>
    </xf>
    <xf numFmtId="0" fontId="2"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2" applyFont="1" applyBorder="1" applyAlignment="1">
      <alignment vertical="center" wrapText="1"/>
    </xf>
    <xf numFmtId="0" fontId="2" fillId="0" borderId="1" xfId="2" applyFont="1" applyBorder="1" applyAlignment="1">
      <alignment horizontal="left" vertical="center" wrapText="1"/>
    </xf>
    <xf numFmtId="0" fontId="19" fillId="0" borderId="1" xfId="2" applyFont="1" applyBorder="1" applyAlignment="1">
      <alignment horizontal="center"/>
    </xf>
    <xf numFmtId="0" fontId="9" fillId="13" borderId="1" xfId="2" applyFont="1" applyFill="1" applyBorder="1" applyAlignment="1">
      <alignment horizontal="center" vertical="center" wrapText="1"/>
    </xf>
    <xf numFmtId="0" fontId="2" fillId="0" borderId="1" xfId="3" applyFont="1" applyBorder="1" applyAlignment="1">
      <alignment horizontal="left" vertical="center" wrapText="1"/>
    </xf>
    <xf numFmtId="0" fontId="28" fillId="0" borderId="1" xfId="3" applyBorder="1"/>
    <xf numFmtId="0" fontId="34" fillId="0" borderId="1" xfId="3" applyFont="1" applyBorder="1" applyAlignment="1">
      <alignment wrapText="1"/>
    </xf>
    <xf numFmtId="0" fontId="2" fillId="3" borderId="1" xfId="0" applyFont="1" applyFill="1" applyBorder="1" applyAlignment="1">
      <alignment horizontal="left" vertical="center" wrapText="1"/>
    </xf>
    <xf numFmtId="0" fontId="23" fillId="0" borderId="0" xfId="0" applyFont="1" applyAlignment="1">
      <alignment horizontal="right" wrapText="1"/>
    </xf>
    <xf numFmtId="0" fontId="17" fillId="0" borderId="0" xfId="0" applyFont="1" applyAlignment="1">
      <alignment horizontal="right" wrapText="1"/>
    </xf>
    <xf numFmtId="0" fontId="19" fillId="0" borderId="0" xfId="0" applyFont="1" applyAlignment="1">
      <alignment horizontal="center" wrapText="1"/>
    </xf>
    <xf numFmtId="0" fontId="18" fillId="0" borderId="0" xfId="0" applyFont="1" applyAlignment="1">
      <alignment horizontal="center"/>
    </xf>
    <xf numFmtId="0" fontId="17" fillId="0" borderId="1" xfId="0" applyFont="1" applyBorder="1" applyAlignment="1">
      <alignment horizontal="center"/>
    </xf>
    <xf numFmtId="0" fontId="17" fillId="0" borderId="1" xfId="6"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0" borderId="0" xfId="0" applyFont="1" applyAlignment="1">
      <alignment horizontal="right"/>
    </xf>
    <xf numFmtId="0" fontId="3" fillId="0" borderId="0" xfId="0" applyFont="1" applyAlignment="1">
      <alignment horizontal="center" vertical="center" wrapText="1"/>
    </xf>
    <xf numFmtId="0" fontId="2" fillId="4" borderId="2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9" fillId="0" borderId="0" xfId="0" applyFont="1" applyFill="1" applyAlignment="1">
      <alignment horizontal="left" vertical="center" wrapText="1"/>
    </xf>
    <xf numFmtId="0" fontId="10" fillId="3" borderId="25"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0" xfId="0" applyFont="1" applyFill="1" applyAlignment="1">
      <alignment horizontal="left" vertical="top" wrapText="1"/>
    </xf>
    <xf numFmtId="0" fontId="8" fillId="0" borderId="0" xfId="0" applyFont="1" applyAlignment="1">
      <alignment horizontal="right" vertical="center"/>
    </xf>
    <xf numFmtId="0" fontId="10" fillId="0" borderId="0"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7" xfId="0" applyFont="1" applyFill="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9"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1" fillId="0" borderId="0" xfId="0" applyFont="1" applyAlignment="1">
      <alignment horizontal="right"/>
    </xf>
    <xf numFmtId="0" fontId="10" fillId="0" borderId="23" xfId="0" applyFont="1" applyBorder="1" applyAlignment="1">
      <alignment horizontal="center" vertical="center" wrapText="1"/>
    </xf>
    <xf numFmtId="0" fontId="9" fillId="0" borderId="0" xfId="0" applyFont="1" applyAlignment="1">
      <alignment horizontal="left" vertical="center" wrapText="1"/>
    </xf>
    <xf numFmtId="2" fontId="10" fillId="0" borderId="1" xfId="0" applyNumberFormat="1" applyFont="1" applyBorder="1" applyAlignment="1">
      <alignment horizontal="center" vertical="center"/>
    </xf>
    <xf numFmtId="0" fontId="9" fillId="0" borderId="0" xfId="0" applyFont="1" applyAlignment="1">
      <alignment horizontal="left" vertical="center"/>
    </xf>
    <xf numFmtId="4" fontId="9" fillId="0" borderId="6" xfId="0" applyNumberFormat="1" applyFont="1" applyBorder="1" applyAlignment="1">
      <alignment horizontal="center" vertical="center"/>
    </xf>
    <xf numFmtId="4" fontId="9" fillId="0" borderId="13"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13" xfId="0" applyNumberFormat="1" applyFont="1" applyBorder="1" applyAlignment="1">
      <alignment horizontal="center" vertical="center"/>
    </xf>
    <xf numFmtId="3" fontId="9" fillId="0" borderId="1" xfId="0" applyNumberFormat="1"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Alignment="1" applyProtection="1">
      <alignment horizontal="right"/>
      <protection locked="0"/>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xf>
    <xf numFmtId="0" fontId="3" fillId="0" borderId="2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3" xfId="0" applyFont="1" applyBorder="1" applyAlignment="1">
      <alignment horizontal="center" vertical="center"/>
    </xf>
    <xf numFmtId="0" fontId="2" fillId="0" borderId="0" xfId="0" applyFont="1" applyAlignment="1">
      <alignment horizontal="left" vertical="center" wrapText="1"/>
    </xf>
    <xf numFmtId="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wrapText="1"/>
    </xf>
    <xf numFmtId="0" fontId="20" fillId="0" borderId="4"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9" fillId="0" borderId="0" xfId="0" applyFont="1" applyAlignment="1">
      <alignment horizontal="left" wrapText="1"/>
    </xf>
    <xf numFmtId="0" fontId="10" fillId="0" borderId="0" xfId="0" applyFont="1" applyAlignment="1">
      <alignment horizontal="center" vertical="center"/>
    </xf>
    <xf numFmtId="0" fontId="9" fillId="0" borderId="1" xfId="0" applyFont="1" applyBorder="1" applyAlignment="1">
      <alignment horizontal="center" vertical="center" wrapText="1"/>
    </xf>
    <xf numFmtId="0" fontId="9" fillId="2" borderId="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7" xfId="0" applyFont="1" applyFill="1" applyBorder="1" applyAlignment="1">
      <alignment horizontal="center" vertical="center"/>
    </xf>
    <xf numFmtId="0" fontId="2" fillId="0" borderId="14" xfId="0" applyFont="1" applyBorder="1" applyAlignment="1">
      <alignment horizontal="center" vertical="center"/>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0" xfId="0" applyFont="1" applyAlignment="1">
      <alignment horizontal="right" vertical="center"/>
    </xf>
    <xf numFmtId="0" fontId="10"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 xfId="0" applyFont="1" applyFill="1" applyBorder="1" applyAlignment="1">
      <alignment horizontal="center" vertical="center" wrapText="1"/>
    </xf>
    <xf numFmtId="2" fontId="2" fillId="0" borderId="2" xfId="0" applyNumberFormat="1" applyFont="1" applyBorder="1" applyAlignment="1">
      <alignment horizontal="left" vertical="center" wrapText="1"/>
    </xf>
    <xf numFmtId="2" fontId="2" fillId="0" borderId="4" xfId="0" applyNumberFormat="1" applyFont="1" applyBorder="1" applyAlignment="1">
      <alignment horizontal="left" vertical="center" wrapText="1"/>
    </xf>
    <xf numFmtId="2" fontId="3" fillId="0" borderId="2"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0" fontId="8" fillId="0" borderId="0" xfId="0" applyFont="1" applyAlignment="1">
      <alignment horizontal="right" vertical="center" shrinkToFit="1"/>
    </xf>
    <xf numFmtId="0" fontId="3" fillId="0" borderId="0" xfId="0" applyFont="1" applyAlignment="1">
      <alignment horizont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3" borderId="2" xfId="2" applyFont="1" applyFill="1" applyBorder="1" applyAlignment="1">
      <alignment horizontal="left" vertical="center" wrapText="1"/>
    </xf>
    <xf numFmtId="0" fontId="9" fillId="3" borderId="4" xfId="2" applyFont="1" applyFill="1" applyBorder="1" applyAlignment="1">
      <alignment horizontal="left" vertical="center" wrapText="1"/>
    </xf>
    <xf numFmtId="0" fontId="8" fillId="0" borderId="0" xfId="2" applyFont="1" applyAlignment="1">
      <alignment horizontal="right"/>
    </xf>
    <xf numFmtId="0" fontId="10" fillId="0" borderId="23" xfId="2" applyFont="1" applyBorder="1" applyAlignment="1">
      <alignment horizontal="center" vertical="center" wrapText="1"/>
    </xf>
    <xf numFmtId="0" fontId="2" fillId="4" borderId="21" xfId="2"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1" xfId="2" applyFont="1" applyFill="1" applyBorder="1" applyAlignment="1">
      <alignment horizontal="center" vertical="center"/>
    </xf>
    <xf numFmtId="0" fontId="18" fillId="0" borderId="2" xfId="2" applyFont="1" applyBorder="1" applyAlignment="1">
      <alignment horizontal="left" wrapText="1"/>
    </xf>
    <xf numFmtId="0" fontId="18" fillId="0" borderId="22" xfId="2" applyFont="1" applyBorder="1" applyAlignment="1">
      <alignment horizontal="left" wrapText="1"/>
    </xf>
    <xf numFmtId="0" fontId="18" fillId="0" borderId="4" xfId="2" applyFont="1" applyBorder="1" applyAlignment="1">
      <alignment horizontal="left" wrapText="1"/>
    </xf>
    <xf numFmtId="0" fontId="19" fillId="0" borderId="2" xfId="2" applyFont="1" applyBorder="1" applyAlignment="1">
      <alignment horizontal="left" wrapText="1"/>
    </xf>
    <xf numFmtId="0" fontId="19" fillId="0" borderId="22" xfId="2" applyFont="1" applyBorder="1" applyAlignment="1">
      <alignment horizontal="left" wrapText="1"/>
    </xf>
    <xf numFmtId="0" fontId="19" fillId="0" borderId="4" xfId="2" applyFont="1" applyBorder="1" applyAlignment="1">
      <alignment horizontal="left" wrapText="1"/>
    </xf>
    <xf numFmtId="0" fontId="8" fillId="0" borderId="0" xfId="2" applyFont="1" applyAlignment="1">
      <alignment horizontal="right" vertical="center"/>
    </xf>
    <xf numFmtId="0" fontId="19" fillId="0" borderId="0" xfId="2" applyFont="1" applyAlignment="1">
      <alignment horizontal="center" wrapText="1"/>
    </xf>
    <xf numFmtId="0" fontId="18" fillId="0" borderId="1" xfId="2" applyFont="1" applyBorder="1" applyAlignment="1">
      <alignment horizontal="center"/>
    </xf>
    <xf numFmtId="0" fontId="18" fillId="0" borderId="1" xfId="2" applyFont="1" applyBorder="1" applyAlignment="1">
      <alignment horizontal="center" wrapText="1"/>
    </xf>
    <xf numFmtId="0" fontId="18" fillId="0" borderId="6" xfId="2" applyFont="1" applyBorder="1" applyAlignment="1">
      <alignment horizontal="center"/>
    </xf>
    <xf numFmtId="0" fontId="18" fillId="0" borderId="13" xfId="2" applyFont="1" applyBorder="1" applyAlignment="1">
      <alignment horizontal="center"/>
    </xf>
    <xf numFmtId="0" fontId="3" fillId="0" borderId="23" xfId="2" applyFont="1" applyBorder="1" applyAlignment="1">
      <alignment horizontal="center" vertical="center"/>
    </xf>
    <xf numFmtId="0" fontId="2" fillId="0" borderId="0" xfId="2" applyFont="1" applyAlignment="1">
      <alignment horizontal="left" vertical="center" wrapText="1"/>
    </xf>
    <xf numFmtId="0" fontId="9" fillId="0" borderId="0" xfId="2" applyFont="1" applyAlignment="1">
      <alignment horizontal="left" vertical="center" wrapText="1"/>
    </xf>
    <xf numFmtId="0" fontId="11" fillId="0" borderId="0" xfId="2" applyFont="1" applyAlignment="1">
      <alignment horizontal="right"/>
    </xf>
    <xf numFmtId="3" fontId="9" fillId="0" borderId="1" xfId="2" applyNumberFormat="1" applyFont="1" applyBorder="1" applyAlignment="1">
      <alignment horizontal="center" vertical="center"/>
    </xf>
    <xf numFmtId="2" fontId="10" fillId="0" borderId="1" xfId="2" applyNumberFormat="1" applyFont="1" applyBorder="1" applyAlignment="1">
      <alignment horizontal="center" vertical="center"/>
    </xf>
    <xf numFmtId="0" fontId="23" fillId="0" borderId="0" xfId="2" applyFont="1" applyAlignment="1">
      <alignment horizontal="right" vertical="center"/>
    </xf>
    <xf numFmtId="0" fontId="24" fillId="0" borderId="0" xfId="2" applyFont="1" applyAlignment="1">
      <alignment horizontal="center" vertical="center" wrapText="1"/>
    </xf>
    <xf numFmtId="0" fontId="16" fillId="0" borderId="2" xfId="2" applyFont="1" applyBorder="1" applyAlignment="1">
      <alignment horizontal="left" vertical="center" wrapText="1"/>
    </xf>
    <xf numFmtId="0" fontId="20" fillId="0" borderId="4" xfId="2" applyFont="1" applyBorder="1" applyAlignment="1">
      <alignment horizontal="left" vertical="center" wrapText="1"/>
    </xf>
    <xf numFmtId="0" fontId="2" fillId="0" borderId="0" xfId="3" applyFont="1" applyAlignment="1">
      <alignment horizontal="center"/>
    </xf>
    <xf numFmtId="0" fontId="29" fillId="0" borderId="0" xfId="3" applyFont="1" applyAlignment="1">
      <alignment horizontal="right" vertical="center"/>
    </xf>
    <xf numFmtId="0" fontId="10" fillId="0" borderId="0" xfId="3" applyFont="1" applyAlignment="1">
      <alignment horizontal="center" vertical="center" wrapText="1"/>
    </xf>
    <xf numFmtId="0" fontId="3" fillId="4" borderId="1" xfId="4" applyFont="1" applyFill="1" applyBorder="1" applyAlignment="1">
      <alignment horizontal="right" wrapText="1"/>
    </xf>
    <xf numFmtId="0" fontId="2" fillId="0" borderId="0" xfId="4" applyFont="1" applyBorder="1" applyAlignment="1">
      <alignment horizontal="left" vertical="center" wrapText="1"/>
    </xf>
    <xf numFmtId="0" fontId="33" fillId="0" borderId="0" xfId="3" applyFont="1" applyAlignment="1">
      <alignment horizontal="center"/>
    </xf>
    <xf numFmtId="0" fontId="11" fillId="0" borderId="7" xfId="3" applyFont="1" applyBorder="1" applyAlignment="1">
      <alignment horizontal="left" vertical="top" wrapText="1"/>
    </xf>
    <xf numFmtId="0" fontId="11" fillId="0" borderId="14" xfId="3" applyFont="1" applyBorder="1" applyAlignment="1">
      <alignment horizontal="left" vertical="top" wrapText="1"/>
    </xf>
    <xf numFmtId="0" fontId="36" fillId="0" borderId="41" xfId="3" applyFont="1" applyBorder="1" applyAlignment="1">
      <alignment horizontal="left" vertical="center"/>
    </xf>
    <xf numFmtId="0" fontId="36" fillId="0" borderId="0" xfId="3" applyFont="1" applyAlignment="1">
      <alignment horizontal="center" vertical="center" wrapText="1"/>
    </xf>
    <xf numFmtId="0" fontId="37" fillId="0" borderId="0" xfId="3" applyFont="1" applyAlignment="1">
      <alignment horizontal="left" wrapText="1"/>
    </xf>
    <xf numFmtId="0" fontId="36" fillId="0" borderId="0" xfId="3" applyFont="1" applyAlignment="1">
      <alignment horizontal="left" vertical="center"/>
    </xf>
    <xf numFmtId="0" fontId="36" fillId="0" borderId="0" xfId="3" applyFont="1" applyAlignment="1">
      <alignment horizontal="center" wrapText="1"/>
    </xf>
    <xf numFmtId="0" fontId="8" fillId="0" borderId="43" xfId="3" applyFont="1" applyBorder="1" applyAlignment="1">
      <alignment horizontal="left" vertical="top" wrapText="1"/>
    </xf>
    <xf numFmtId="0" fontId="36" fillId="0" borderId="0" xfId="3" applyFont="1" applyAlignment="1">
      <alignment horizontal="left" wrapText="1"/>
    </xf>
    <xf numFmtId="4" fontId="36" fillId="10" borderId="18" xfId="3" applyNumberFormat="1" applyFont="1" applyFill="1" applyBorder="1" applyAlignment="1">
      <alignment horizontal="center" vertical="center"/>
    </xf>
    <xf numFmtId="4" fontId="36" fillId="10" borderId="46" xfId="3" applyNumberFormat="1" applyFont="1" applyFill="1" applyBorder="1" applyAlignment="1">
      <alignment horizontal="center" vertical="center"/>
    </xf>
    <xf numFmtId="4" fontId="36" fillId="10" borderId="19" xfId="3" applyNumberFormat="1" applyFont="1" applyFill="1" applyBorder="1" applyAlignment="1">
      <alignment horizontal="center" vertical="center"/>
    </xf>
    <xf numFmtId="4" fontId="36" fillId="11" borderId="0" xfId="3" applyNumberFormat="1" applyFont="1" applyFill="1" applyAlignment="1">
      <alignment horizontal="center" vertical="center"/>
    </xf>
    <xf numFmtId="0" fontId="34" fillId="12" borderId="0" xfId="3" applyFont="1" applyFill="1" applyAlignment="1">
      <alignment horizontal="left" wrapText="1"/>
    </xf>
    <xf numFmtId="0" fontId="45" fillId="0" borderId="1" xfId="0" applyFont="1" applyBorder="1"/>
    <xf numFmtId="0" fontId="45" fillId="0" borderId="1" xfId="6" applyFont="1" applyBorder="1" applyAlignment="1">
      <alignment horizontal="left" wrapText="1"/>
    </xf>
  </cellXfs>
  <cellStyles count="7">
    <cellStyle name="Comma 2" xfId="5" xr:uid="{D841F3A7-2E7F-42C1-86C0-BFDE0382DA93}"/>
    <cellStyle name="Hyperlink" xfId="6" builtinId="8"/>
    <cellStyle name="Normal" xfId="0" builtinId="0"/>
    <cellStyle name="Normal 2" xfId="2" xr:uid="{D683E00D-61F9-411E-9491-BE7EE9E0DC82}"/>
    <cellStyle name="Normal 3" xfId="3" xr:uid="{159DABEE-AD79-40CC-91A2-BC679ED85FE6}"/>
    <cellStyle name="Normal_Sheet1" xfId="4" xr:uid="{559406D8-5555-429E-970E-23EA8A955E68}"/>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BFF5-0103-4864-B115-8374353A1196}">
  <dimension ref="A2:M36"/>
  <sheetViews>
    <sheetView topLeftCell="A25" zoomScaleNormal="100" workbookViewId="0">
      <selection activeCell="B35" sqref="B35:M35"/>
    </sheetView>
  </sheetViews>
  <sheetFormatPr defaultRowHeight="12.75" x14ac:dyDescent="0.2"/>
  <cols>
    <col min="1" max="1" width="15" customWidth="1"/>
    <col min="13" max="13" width="13.42578125" customWidth="1"/>
  </cols>
  <sheetData>
    <row r="2" spans="1:13" ht="82.5" customHeight="1" x14ac:dyDescent="0.25">
      <c r="F2" s="373" t="s">
        <v>86</v>
      </c>
      <c r="G2" s="373"/>
      <c r="H2" s="373"/>
      <c r="I2" s="373"/>
      <c r="J2" s="373"/>
      <c r="K2" s="373"/>
      <c r="L2" s="373"/>
      <c r="M2" s="373"/>
    </row>
    <row r="4" spans="1:13" ht="15.75" x14ac:dyDescent="0.25">
      <c r="H4" s="374" t="s">
        <v>84</v>
      </c>
      <c r="I4" s="374"/>
      <c r="J4" s="374"/>
      <c r="K4" s="374"/>
      <c r="L4" s="374"/>
      <c r="M4" s="374"/>
    </row>
    <row r="7" spans="1:13" ht="18.75" customHeight="1" x14ac:dyDescent="0.3">
      <c r="A7" s="375" t="s">
        <v>396</v>
      </c>
      <c r="B7" s="375"/>
      <c r="C7" s="375"/>
      <c r="D7" s="375"/>
      <c r="E7" s="375"/>
      <c r="F7" s="375"/>
      <c r="G7" s="375"/>
      <c r="H7" s="375"/>
      <c r="I7" s="375"/>
      <c r="J7" s="375"/>
      <c r="K7" s="375"/>
      <c r="L7" s="375"/>
      <c r="M7" s="375"/>
    </row>
    <row r="9" spans="1:13" ht="18.75" x14ac:dyDescent="0.3">
      <c r="E9" s="376" t="s">
        <v>85</v>
      </c>
      <c r="F9" s="376"/>
      <c r="G9" s="376"/>
      <c r="H9" s="376"/>
    </row>
    <row r="10" spans="1:13" ht="15.75" x14ac:dyDescent="0.25">
      <c r="A10" s="345" t="s">
        <v>221</v>
      </c>
      <c r="B10" s="377" t="s">
        <v>87</v>
      </c>
      <c r="C10" s="377"/>
      <c r="D10" s="377"/>
      <c r="E10" s="377"/>
      <c r="F10" s="377"/>
      <c r="G10" s="377"/>
      <c r="H10" s="377"/>
      <c r="I10" s="377"/>
      <c r="J10" s="377"/>
      <c r="K10" s="377"/>
      <c r="L10" s="377"/>
      <c r="M10" s="377"/>
    </row>
    <row r="11" spans="1:13" ht="24.95" customHeight="1" x14ac:dyDescent="0.25">
      <c r="A11" s="511" t="str">
        <f>'7.1.1.pielikums'!A2</f>
        <v>7.1.1.pielikums</v>
      </c>
      <c r="B11" s="512" t="str">
        <f>'7.1.1.pielikums'!A3</f>
        <v>Pakalpojuma "Aprūpe mājās" vienas vienības izmaksu  aprēķins</v>
      </c>
      <c r="C11" s="512"/>
      <c r="D11" s="512"/>
      <c r="E11" s="512"/>
      <c r="F11" s="512"/>
      <c r="G11" s="512"/>
      <c r="H11" s="512"/>
      <c r="I11" s="512"/>
      <c r="J11" s="512"/>
      <c r="K11" s="512"/>
      <c r="L11" s="512"/>
      <c r="M11" s="512"/>
    </row>
    <row r="12" spans="1:13" ht="24.95" customHeight="1" x14ac:dyDescent="0.25">
      <c r="A12" s="346" t="str">
        <f>'7.1.2. pielikums'!A2</f>
        <v>7.1.2.pielikums</v>
      </c>
      <c r="B12" s="378" t="str">
        <f>'7.1.2. pielikums'!A3</f>
        <v>Pakalpojuma "Aprūpe mājās" sniedzēju izmaksu apkopojums un vidējo izmaksu aprēķins</v>
      </c>
      <c r="C12" s="378"/>
      <c r="D12" s="378"/>
      <c r="E12" s="378"/>
      <c r="F12" s="378"/>
      <c r="G12" s="378"/>
      <c r="H12" s="378"/>
      <c r="I12" s="378"/>
      <c r="J12" s="378"/>
      <c r="K12" s="378"/>
      <c r="L12" s="378"/>
      <c r="M12" s="378"/>
    </row>
    <row r="13" spans="1:13" ht="24.95" customHeight="1" x14ac:dyDescent="0.25">
      <c r="A13" s="346" t="str">
        <f>'7.1.3. pielikums'!A2</f>
        <v>7.1.3. pielikums</v>
      </c>
      <c r="B13" s="378" t="str">
        <f>'7.1.3. pielikums'!A3</f>
        <v>Veselības apdrošināšanas izmaksu aprēķins pakalpojumam "Aprūpe mājās"</v>
      </c>
      <c r="C13" s="378"/>
      <c r="D13" s="378"/>
      <c r="E13" s="378"/>
      <c r="F13" s="378"/>
      <c r="G13" s="378"/>
      <c r="H13" s="378"/>
      <c r="I13" s="378"/>
      <c r="J13" s="378"/>
      <c r="K13" s="378"/>
      <c r="L13" s="378"/>
      <c r="M13" s="378"/>
    </row>
    <row r="14" spans="1:13" ht="24.95" customHeight="1" x14ac:dyDescent="0.25">
      <c r="A14" s="346" t="str">
        <f>'7.1.4. pielikums'!A2</f>
        <v>7.1.4. pielikums</v>
      </c>
      <c r="B14" s="378" t="str">
        <f>'7.1.4. pielikums'!A3</f>
        <v>Supervīzijas izmaksu aprēķins pakalpojumam "Aprūpe mājās"</v>
      </c>
      <c r="C14" s="378"/>
      <c r="D14" s="378"/>
      <c r="E14" s="378"/>
      <c r="F14" s="378"/>
      <c r="G14" s="378"/>
      <c r="H14" s="378"/>
      <c r="I14" s="378"/>
      <c r="J14" s="378"/>
      <c r="K14" s="378"/>
      <c r="L14" s="378"/>
      <c r="M14" s="378"/>
    </row>
    <row r="15" spans="1:13" ht="38.25" customHeight="1" x14ac:dyDescent="0.25">
      <c r="A15" s="346" t="str">
        <f>'7.1.5. pielikums'!A2</f>
        <v>7.1.5. pielikums</v>
      </c>
      <c r="B15" s="378" t="str">
        <f>'7.1.5. pielikums'!A3</f>
        <v>Informācija par sociālo pakalpojumu sniedzējiem, kuru sniegtā informācija tika analizēta, veidojot pakalpojuma "Aprūpe mājās"  izmaksas</v>
      </c>
      <c r="C15" s="378"/>
      <c r="D15" s="378"/>
      <c r="E15" s="378"/>
      <c r="F15" s="378"/>
      <c r="G15" s="378"/>
      <c r="H15" s="378"/>
      <c r="I15" s="378"/>
      <c r="J15" s="378"/>
      <c r="K15" s="378"/>
      <c r="L15" s="378"/>
      <c r="M15" s="378"/>
    </row>
    <row r="16" spans="1:13" ht="24.95" customHeight="1" x14ac:dyDescent="0.25">
      <c r="A16" s="511" t="str">
        <f>'7.2.1. pielikums'!A2</f>
        <v>7.2.1. pielikums</v>
      </c>
      <c r="B16" s="512" t="str">
        <f>'7.2.1. pielikums'!A3</f>
        <v>Pakalpojuma "Dienas aprūpes centrs" vienas vienības izmaksu  aprēķins</v>
      </c>
      <c r="C16" s="512"/>
      <c r="D16" s="512"/>
      <c r="E16" s="512"/>
      <c r="F16" s="512"/>
      <c r="G16" s="512"/>
      <c r="H16" s="512"/>
      <c r="I16" s="512"/>
      <c r="J16" s="512"/>
      <c r="K16" s="512"/>
      <c r="L16" s="512"/>
      <c r="M16" s="512"/>
    </row>
    <row r="17" spans="1:13" ht="44.25" customHeight="1" x14ac:dyDescent="0.25">
      <c r="A17" s="346" t="str">
        <f>'7.2.2.. pielikums '!B2</f>
        <v>7.2.2.. pielikums</v>
      </c>
      <c r="B17" s="378" t="str">
        <f>'7.2.2.. pielikums '!A3</f>
        <v>Pakalpojuma "Dienas aprūpes centri" pakalpojuma sniedzēju iesniegto izmaksu apkopojums un vidējo izmaksu aprēķins</v>
      </c>
      <c r="C17" s="378"/>
      <c r="D17" s="378"/>
      <c r="E17" s="378"/>
      <c r="F17" s="378"/>
      <c r="G17" s="378"/>
      <c r="H17" s="378"/>
      <c r="I17" s="378"/>
      <c r="J17" s="378"/>
      <c r="K17" s="378"/>
      <c r="L17" s="378"/>
      <c r="M17" s="378"/>
    </row>
    <row r="18" spans="1:13" ht="24.95" customHeight="1" x14ac:dyDescent="0.25">
      <c r="A18" s="346" t="str">
        <f>'7.2.3.. pielikums'!A2</f>
        <v>7.2.3. pielikums</v>
      </c>
      <c r="B18" s="378" t="str">
        <f>'7.2.3.. pielikums'!A3</f>
        <v>Veselības apdrošināšanas izmaksu aprēķins DAC strādājošajiem</v>
      </c>
      <c r="C18" s="378"/>
      <c r="D18" s="378"/>
      <c r="E18" s="378"/>
      <c r="F18" s="378"/>
      <c r="G18" s="378"/>
      <c r="H18" s="378"/>
      <c r="I18" s="378"/>
      <c r="J18" s="378"/>
      <c r="K18" s="378"/>
      <c r="L18" s="378"/>
      <c r="M18" s="378"/>
    </row>
    <row r="19" spans="1:13" ht="24.95" customHeight="1" x14ac:dyDescent="0.25">
      <c r="A19" s="346" t="str">
        <f>'7.2.4.. pielikums'!A2</f>
        <v>7.2.4. pielikums</v>
      </c>
      <c r="B19" s="378" t="str">
        <f>'7.2.4.. pielikums'!A3</f>
        <v>Supervīzijas izmaksu aprēķins pakalpojumam "Dienas aprūpes centri"</v>
      </c>
      <c r="C19" s="378"/>
      <c r="D19" s="378"/>
      <c r="E19" s="378"/>
      <c r="F19" s="378"/>
      <c r="G19" s="378"/>
      <c r="H19" s="378"/>
      <c r="I19" s="378"/>
      <c r="J19" s="378"/>
      <c r="K19" s="378"/>
      <c r="L19" s="378"/>
      <c r="M19" s="378"/>
    </row>
    <row r="20" spans="1:13" ht="42.75" customHeight="1" x14ac:dyDescent="0.25">
      <c r="A20" s="346" t="str">
        <f>'7.2.5.. pielikums'!A2</f>
        <v>7.2.5. pielikums</v>
      </c>
      <c r="B20" s="378" t="str">
        <f>'7.2.5.. pielikums'!A3</f>
        <v>Informācija par sociālo pakalpojumu sniedzējiem, kuru sniegtā informācija tika analizēta veidojot pakalpojuma "Dienas aprūpes centri personām, t.sk. bērniem, ar funkcionāliem traucējumiem" izmaksas</v>
      </c>
      <c r="C20" s="378"/>
      <c r="D20" s="378"/>
      <c r="E20" s="378"/>
      <c r="F20" s="378"/>
      <c r="G20" s="378"/>
      <c r="H20" s="378"/>
      <c r="I20" s="378"/>
      <c r="J20" s="378"/>
      <c r="K20" s="378"/>
      <c r="L20" s="378"/>
      <c r="M20" s="378"/>
    </row>
    <row r="21" spans="1:13" ht="24.95" customHeight="1" x14ac:dyDescent="0.25">
      <c r="A21" s="511" t="str">
        <f>'7.3.1. pielikums'!A2</f>
        <v>7.3.1. pielikums</v>
      </c>
      <c r="B21" s="512" t="str">
        <f>'7.3.1. pielikums'!A3</f>
        <v>Pakalpojuma "Specializētās darbnīcas" vienas vienības izmaksu aprēķins</v>
      </c>
      <c r="C21" s="512"/>
      <c r="D21" s="512"/>
      <c r="E21" s="512"/>
      <c r="F21" s="512"/>
      <c r="G21" s="512"/>
      <c r="H21" s="512"/>
      <c r="I21" s="512"/>
      <c r="J21" s="512"/>
      <c r="K21" s="512"/>
      <c r="L21" s="512"/>
      <c r="M21" s="512"/>
    </row>
    <row r="22" spans="1:13" ht="43.5" customHeight="1" x14ac:dyDescent="0.25">
      <c r="A22" s="346" t="str">
        <f>'7.3.2.. pielikums'!A2</f>
        <v>7.3.2.. pielikums</v>
      </c>
      <c r="B22" s="378" t="str">
        <f>'7.3.2.. pielikums'!A3</f>
        <v>Pakalpojuma "Specializētās darbnīcas"  pakalpojuma sniedzēju iesniegto izmaksu apkopojums un vidējo izmaksu aprēķins</v>
      </c>
      <c r="C22" s="378"/>
      <c r="D22" s="378"/>
      <c r="E22" s="378"/>
      <c r="F22" s="378"/>
      <c r="G22" s="378"/>
      <c r="H22" s="378"/>
      <c r="I22" s="378"/>
      <c r="J22" s="378"/>
      <c r="K22" s="378"/>
      <c r="L22" s="378"/>
      <c r="M22" s="378"/>
    </row>
    <row r="23" spans="1:13" ht="24.95" customHeight="1" x14ac:dyDescent="0.25">
      <c r="A23" s="346" t="str">
        <f>'7.3..3. pielikums'!A2</f>
        <v>7.3.3. pielikums</v>
      </c>
      <c r="B23" s="378" t="str">
        <f>'7.3..3. pielikums'!A3</f>
        <v>Darbinieku veselības apdrošināšanas izmaksu aprēķins  pakalpojumam "Specializētās darbnīcas"</v>
      </c>
      <c r="C23" s="378"/>
      <c r="D23" s="378"/>
      <c r="E23" s="378"/>
      <c r="F23" s="378"/>
      <c r="G23" s="378"/>
      <c r="H23" s="378"/>
      <c r="I23" s="378"/>
      <c r="J23" s="378"/>
      <c r="K23" s="378"/>
      <c r="L23" s="378"/>
      <c r="M23" s="378"/>
    </row>
    <row r="24" spans="1:13" ht="24.95" customHeight="1" x14ac:dyDescent="0.25">
      <c r="A24" s="346" t="str">
        <f>'7.3.4.. pielikums'!A2</f>
        <v>7.3.4.. pielikums</v>
      </c>
      <c r="B24" s="378" t="str">
        <f>'7.3.4.. pielikums'!A3</f>
        <v>Speciālo darbnīcu iekārtu izmaksu aprēķins</v>
      </c>
      <c r="C24" s="378"/>
      <c r="D24" s="378"/>
      <c r="E24" s="378"/>
      <c r="F24" s="378"/>
      <c r="G24" s="378"/>
      <c r="H24" s="378"/>
      <c r="I24" s="378"/>
      <c r="J24" s="378"/>
      <c r="K24" s="378"/>
      <c r="L24" s="378"/>
      <c r="M24" s="378"/>
    </row>
    <row r="25" spans="1:13" ht="24.95" customHeight="1" x14ac:dyDescent="0.25">
      <c r="A25" s="346" t="str">
        <f>'7.3.5.. pielikums'!A2</f>
        <v>7.3.5.. pielikums</v>
      </c>
      <c r="B25" s="378" t="str">
        <f>'7.3.5.. pielikums'!A3</f>
        <v>Supervīzijas izmaksu aprēķins pakalpojumam "Specializētās darbnīcas"</v>
      </c>
      <c r="C25" s="378"/>
      <c r="D25" s="378"/>
      <c r="E25" s="378"/>
      <c r="F25" s="378"/>
      <c r="G25" s="378"/>
      <c r="H25" s="378"/>
      <c r="I25" s="378"/>
      <c r="J25" s="378"/>
      <c r="K25" s="378"/>
      <c r="L25" s="378"/>
      <c r="M25" s="378"/>
    </row>
    <row r="26" spans="1:13" ht="42" customHeight="1" x14ac:dyDescent="0.25">
      <c r="A26" s="346" t="str">
        <f>'7.3.6.. pielikums'!A2</f>
        <v>7.3.6. pielikums</v>
      </c>
      <c r="B26" s="378" t="str">
        <f>'7.3.6.. pielikums'!A3</f>
        <v>Informācija par sociālo pakalpojumu sniedzējiem, kuru sniegtā informācija tika analizēta, veidojot pakalpojuma "Specializētās darbnīcas" grozu</v>
      </c>
      <c r="C26" s="378"/>
      <c r="D26" s="378"/>
      <c r="E26" s="378"/>
      <c r="F26" s="378"/>
      <c r="G26" s="378"/>
      <c r="H26" s="378"/>
      <c r="I26" s="378"/>
      <c r="J26" s="378"/>
      <c r="K26" s="378"/>
      <c r="L26" s="378"/>
      <c r="M26" s="378"/>
    </row>
    <row r="27" spans="1:13" ht="24.95" customHeight="1" x14ac:dyDescent="0.25">
      <c r="A27" s="511" t="str">
        <f>'7.4.1. pielikums'!A2</f>
        <v>7.4.1. pielikums</v>
      </c>
      <c r="B27" s="512" t="str">
        <f>'7.4.1. pielikums'!A3</f>
        <v>Pakalpojuma "Atelpas brīdis institūcijā" vienas vienības izmaksu  aprēķins</v>
      </c>
      <c r="C27" s="512"/>
      <c r="D27" s="512"/>
      <c r="E27" s="512"/>
      <c r="F27" s="512"/>
      <c r="G27" s="512"/>
      <c r="H27" s="512"/>
      <c r="I27" s="512"/>
      <c r="J27" s="512"/>
      <c r="K27" s="512"/>
      <c r="L27" s="512"/>
      <c r="M27" s="512"/>
    </row>
    <row r="28" spans="1:13" ht="24.95" customHeight="1" x14ac:dyDescent="0.25">
      <c r="A28" s="346" t="str">
        <f>'7.4.2.pielikums'!A2</f>
        <v>7.4.2.. pielikums</v>
      </c>
      <c r="B28" s="378" t="str">
        <f>'7.4.2.pielikums'!A5</f>
        <v>Atelpas brīža pakalpojuma sniedzēju iesniegto izmaksu apkopojums par 2019.gadu  un vidējo izmaksu aprēķins</v>
      </c>
      <c r="C28" s="378"/>
      <c r="D28" s="378"/>
      <c r="E28" s="378"/>
      <c r="F28" s="378"/>
      <c r="G28" s="378"/>
      <c r="H28" s="378"/>
      <c r="I28" s="378"/>
      <c r="J28" s="378"/>
      <c r="K28" s="378"/>
      <c r="L28" s="378"/>
      <c r="M28" s="378"/>
    </row>
    <row r="29" spans="1:13" ht="24.95" customHeight="1" x14ac:dyDescent="0.25">
      <c r="A29" s="346" t="str">
        <f>'7.4.3.. pielikums'!A2</f>
        <v>7.4.3. pielikums</v>
      </c>
      <c r="B29" s="378" t="str">
        <f>'7.4.3.. pielikums'!A3</f>
        <v>Veselības apdrošināšanas izmaksu aprēķins atelpas brīža pakalpojuma institūcijā strādājošajiem</v>
      </c>
      <c r="C29" s="378"/>
      <c r="D29" s="378"/>
      <c r="E29" s="378"/>
      <c r="F29" s="378"/>
      <c r="G29" s="378"/>
      <c r="H29" s="378"/>
      <c r="I29" s="378"/>
      <c r="J29" s="378"/>
      <c r="K29" s="378"/>
      <c r="L29" s="378"/>
      <c r="M29" s="378"/>
    </row>
    <row r="30" spans="1:13" ht="24.95" customHeight="1" x14ac:dyDescent="0.25">
      <c r="A30" s="346" t="str">
        <f>'7.4.4. pielikums'!A2</f>
        <v>7.4.4. pielikums</v>
      </c>
      <c r="B30" s="378" t="str">
        <f>'7.4.4. pielikums'!A3</f>
        <v>Supervīzijas izmaksu aprēķins atelpas brīža pakalpojumam institūcijā</v>
      </c>
      <c r="C30" s="378"/>
      <c r="D30" s="378"/>
      <c r="E30" s="378"/>
      <c r="F30" s="378"/>
      <c r="G30" s="378"/>
      <c r="H30" s="378"/>
      <c r="I30" s="378"/>
      <c r="J30" s="378"/>
      <c r="K30" s="378"/>
      <c r="L30" s="378"/>
      <c r="M30" s="378"/>
    </row>
    <row r="31" spans="1:13" ht="40.5" customHeight="1" x14ac:dyDescent="0.25">
      <c r="A31" s="346" t="str">
        <f>'7.4.5. pielikums'!A2</f>
        <v>7.4.5. pielikums</v>
      </c>
      <c r="B31" s="378" t="str">
        <f>'7.4.5. pielikums'!A3</f>
        <v>Informācija par sociālo pakalpojumu sniedzējiem, kuru sniegtā informācija tika analizēta veidojot atelpas brīža pakalpojuma institūcijā izmaksas</v>
      </c>
      <c r="C31" s="378"/>
      <c r="D31" s="378"/>
      <c r="E31" s="378"/>
      <c r="F31" s="378"/>
      <c r="G31" s="378"/>
      <c r="H31" s="378"/>
      <c r="I31" s="378"/>
      <c r="J31" s="378"/>
      <c r="K31" s="378"/>
      <c r="L31" s="378"/>
      <c r="M31" s="378"/>
    </row>
    <row r="32" spans="1:13" ht="24.95" customHeight="1" x14ac:dyDescent="0.25">
      <c r="A32" s="511" t="str">
        <f>'7_5_1_pielikums'!A2</f>
        <v>7.5.1.pielikums</v>
      </c>
      <c r="B32" s="512" t="str">
        <f>'7_5_1_pielikums'!A4</f>
        <v>Pakalpojuma "Speciālista konsultācija un individuālais atbalsts" vienas vienības izmaksu  aprēķins</v>
      </c>
      <c r="C32" s="512"/>
      <c r="D32" s="512"/>
      <c r="E32" s="512"/>
      <c r="F32" s="512"/>
      <c r="G32" s="512"/>
      <c r="H32" s="512"/>
      <c r="I32" s="512"/>
      <c r="J32" s="512"/>
      <c r="K32" s="512"/>
      <c r="L32" s="512"/>
      <c r="M32" s="512"/>
    </row>
    <row r="33" spans="1:13" ht="24.95" customHeight="1" x14ac:dyDescent="0.25">
      <c r="A33" s="346" t="str">
        <f>'7_5_2_pielikums'!A3</f>
        <v>7.5.2.pielikums</v>
      </c>
      <c r="B33" s="378" t="str">
        <f>'7_5_2_pielikums'!A5</f>
        <v>Izmēģinājumprojektā sniegto speciālistu konsultāciju/nodarbību vidējās cenas aprēķins</v>
      </c>
      <c r="C33" s="378"/>
      <c r="D33" s="378"/>
      <c r="E33" s="378"/>
      <c r="F33" s="378"/>
      <c r="G33" s="378"/>
      <c r="H33" s="378"/>
      <c r="I33" s="378"/>
      <c r="J33" s="378"/>
      <c r="K33" s="378"/>
      <c r="L33" s="378"/>
      <c r="M33" s="378"/>
    </row>
    <row r="34" spans="1:13" ht="24.95" customHeight="1" x14ac:dyDescent="0.25">
      <c r="A34" s="511" t="str">
        <f>'7_6_pielikums'!L2</f>
        <v>7.6.pielikums</v>
      </c>
      <c r="B34" s="512" t="str">
        <f>'7_6_pielikums'!A5</f>
        <v>Pakalpojuma "Grupu nodarbības" vienas vienības (grupas) izmaksu   aprēķins</v>
      </c>
      <c r="C34" s="512"/>
      <c r="D34" s="512"/>
      <c r="E34" s="512"/>
      <c r="F34" s="512"/>
      <c r="G34" s="512"/>
      <c r="H34" s="512"/>
      <c r="I34" s="512"/>
      <c r="J34" s="512"/>
      <c r="K34" s="512"/>
      <c r="L34" s="512"/>
      <c r="M34" s="512"/>
    </row>
    <row r="35" spans="1:13" ht="24.95" customHeight="1" x14ac:dyDescent="0.25">
      <c r="A35" s="511" t="str">
        <f>'7_7_pielikums '!A2</f>
        <v>7.7.pielikums</v>
      </c>
      <c r="B35" s="512" t="str">
        <f>'7_7_pielikums '!A4</f>
        <v>Universālā asistenta pakalpojuma vienas vienības izmaksu aprēķins</v>
      </c>
      <c r="C35" s="512"/>
      <c r="D35" s="512"/>
      <c r="E35" s="512"/>
      <c r="F35" s="512"/>
      <c r="G35" s="512"/>
      <c r="H35" s="512"/>
      <c r="I35" s="512"/>
      <c r="J35" s="512"/>
      <c r="K35" s="512"/>
      <c r="L35" s="512"/>
      <c r="M35" s="512"/>
    </row>
    <row r="36" spans="1:13" ht="15.75" x14ac:dyDescent="0.25">
      <c r="A36" s="201"/>
      <c r="B36" s="201"/>
      <c r="C36" s="201"/>
      <c r="D36" s="201"/>
      <c r="E36" s="201"/>
      <c r="F36" s="201"/>
      <c r="G36" s="201"/>
      <c r="H36" s="201"/>
      <c r="I36" s="201"/>
      <c r="J36" s="201"/>
      <c r="K36" s="201"/>
      <c r="L36" s="201"/>
      <c r="M36" s="201"/>
    </row>
  </sheetData>
  <mergeCells count="30">
    <mergeCell ref="B31:M31"/>
    <mergeCell ref="B32:M32"/>
    <mergeCell ref="B33:M33"/>
    <mergeCell ref="B34:M34"/>
    <mergeCell ref="B35:M35"/>
    <mergeCell ref="B26:M26"/>
    <mergeCell ref="B27:M27"/>
    <mergeCell ref="B28:M28"/>
    <mergeCell ref="B29:M29"/>
    <mergeCell ref="B30:M30"/>
    <mergeCell ref="B21:M21"/>
    <mergeCell ref="B22:M22"/>
    <mergeCell ref="B23:M23"/>
    <mergeCell ref="B24:M24"/>
    <mergeCell ref="B25:M25"/>
    <mergeCell ref="B16:M16"/>
    <mergeCell ref="B17:M17"/>
    <mergeCell ref="B18:M18"/>
    <mergeCell ref="B19:M19"/>
    <mergeCell ref="B20:M20"/>
    <mergeCell ref="B11:M11"/>
    <mergeCell ref="B12:M12"/>
    <mergeCell ref="B13:M13"/>
    <mergeCell ref="B14:M14"/>
    <mergeCell ref="B15:M15"/>
    <mergeCell ref="F2:M2"/>
    <mergeCell ref="H4:M4"/>
    <mergeCell ref="A7:M7"/>
    <mergeCell ref="E9:H9"/>
    <mergeCell ref="B10:M10"/>
  </mergeCells>
  <hyperlinks>
    <hyperlink ref="B11:M11" location="'7.1.1.pielikums'!A1" display="'7.1.1.pielikums'!A1" xr:uid="{FA7ADA5E-A13D-4CE9-991C-60B669AB4DD3}"/>
    <hyperlink ref="B12:M12" location="'7.1.2. pielikums'!A1" display="'7.1.2. pielikums'!A1" xr:uid="{FE0BDBF1-98B8-4709-9C50-DA2A3A59468A}"/>
    <hyperlink ref="B13:M13" location="'7.1.3. pielikums'!A1" display="'7.1.3. pielikums'!A1" xr:uid="{1670553D-DFFE-463A-A56D-6DA9C42B19AC}"/>
    <hyperlink ref="B14:M14" location="'7.1.4. pielikums'!A1" display="'7.1.4. pielikums'!A1" xr:uid="{3EAD9EF1-B49C-4E46-83E8-C971FE2BC73D}"/>
    <hyperlink ref="B15:M15" location="'7.1.5. pielikums'!A1" display="'7.1.5. pielikums'!A1" xr:uid="{1AD92B9E-F6B8-4D96-A796-7073DB6EB6EA}"/>
    <hyperlink ref="B16:M16" location="'7.2.1. pielikums'!A1" display="'7.2.1. pielikums'!A1" xr:uid="{7AF57438-9F36-4B35-A2EF-716B64FF300B}"/>
    <hyperlink ref="B17:M17" location="'7.2.2.. pielikums '!A1" display="'7.2.2.. pielikums '!A1" xr:uid="{7C8C551E-9F2A-4593-9FC0-A17BA36E6E57}"/>
    <hyperlink ref="B18:M18" location="'7.2.3.. pielikums'!A1" display="'7.2.3.. pielikums'!A1" xr:uid="{D6549099-3E87-498C-BE25-10F23FA55219}"/>
    <hyperlink ref="B19:M19" location="'7.2.4.. pielikums'!A1" display="'7.2.4.. pielikums'!A1" xr:uid="{787A30DF-536A-4319-B11E-9F46A630064C}"/>
    <hyperlink ref="B20:M20" location="'7.2.5.. pielikums'!A1" display="'7.2.5.. pielikums'!A1" xr:uid="{A4EB0C24-C32C-429D-B08E-A07D3689459A}"/>
    <hyperlink ref="B21:M21" location="'7.3.1. pielikums'!A1" display="'7.3.1. pielikums'!A1" xr:uid="{966A6527-9F0B-4DF0-8D96-38DDCF739564}"/>
    <hyperlink ref="B22:M22" location="'7.3.2.. pielikums'!A1" display="'7.3.2.. pielikums'!A1" xr:uid="{B3714FC7-CF5B-47BA-83B0-2EA0E1ADE931}"/>
    <hyperlink ref="B23:M23" location="'7.3..3. pielikums'!A1" display="'7.3..3. pielikums'!A1" xr:uid="{0020C5B0-619B-4521-B67E-ECD73396063E}"/>
    <hyperlink ref="B24:M24" location="'7.3.4.. pielikums'!A1" display="'7.3.4.. pielikums'!A1" xr:uid="{C71EA8B1-5ED5-4FB1-9DBA-B99BD29F9BE6}"/>
    <hyperlink ref="B25:M25" location="'7.3.5.. pielikums'!A1" display="'7.3.5.. pielikums'!A1" xr:uid="{307C6142-40D0-496B-9842-AC7FDE310C03}"/>
    <hyperlink ref="B26:M26" location="'7.3.6.. pielikums'!A1" display="'7.3.6.. pielikums'!A1" xr:uid="{F2808BB7-A0DE-4586-A1DE-24C89C38FD67}"/>
    <hyperlink ref="B27:M27" location="'7.4.1. pielikums'!A1" display="'7.4.1. pielikums'!A1" xr:uid="{FFD9882E-10D5-4C0D-80D5-9EEF3BF2E28B}"/>
    <hyperlink ref="B28:M28" location="'7.4.2.pielikums'!A1" display="'7.4.2.pielikums'!A1" xr:uid="{661F4FF9-46DC-4A31-BA7F-65F95F385EB7}"/>
    <hyperlink ref="B29:M29" location="'7.4.3.. pielikums'!A1" display="'7.4.3.. pielikums'!A1" xr:uid="{5A7AF14C-8556-4121-B36E-EDFFE4F86C59}"/>
    <hyperlink ref="B30:M30" location="'7.4.4. pielikums'!A1" display="'7.4.4. pielikums'!A1" xr:uid="{558E7A2A-1E85-43A3-B625-04C867AD19E3}"/>
    <hyperlink ref="B31:M31" location="'7.4.5. pielikums'!A1" display="'7.4.5. pielikums'!A1" xr:uid="{4DA6658A-07F0-4951-89A7-F2F776E96F79}"/>
    <hyperlink ref="B32:M32" location="'7_5_1_pielikums'!A1" display="'7_5_1_pielikums'!A1" xr:uid="{66DFBD41-7A80-4E90-A321-912E3C3795F9}"/>
    <hyperlink ref="B33:M33" location="'7_5_2_pielikums'!A1" display="'7_5_2_pielikums'!A1" xr:uid="{EB0D09AA-6260-4618-BF87-F35E1BAD9F8F}"/>
    <hyperlink ref="B34:M34" location="'7_6_pielikums'!A1" display="'7_6_pielikums'!A1" xr:uid="{0F9523C8-4D53-4B9A-8130-987BC60AE790}"/>
    <hyperlink ref="B35:M35" location="'7_7_pielikums '!A1" display="'7_7_pielikums '!A1" xr:uid="{E34EB870-90E6-4D67-A7E3-29F28C3FE4CA}"/>
  </hyperlinks>
  <pageMargins left="0.7" right="0.7" top="0.75" bottom="0.75" header="0.3" footer="0.3"/>
  <pageSetup paperSize="9" scale="69" orientation="portrait"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3C2D-07F7-430F-991A-8C5E0A66124A}">
  <dimension ref="A1:J13"/>
  <sheetViews>
    <sheetView zoomScale="96" zoomScaleNormal="96" workbookViewId="0"/>
  </sheetViews>
  <sheetFormatPr defaultColWidth="9.140625" defaultRowHeight="15" x14ac:dyDescent="0.25"/>
  <cols>
    <col min="1" max="1" width="32.7109375" style="5" customWidth="1"/>
    <col min="2" max="2" width="15.28515625" style="5" customWidth="1"/>
    <col min="3" max="3" width="10.7109375" style="5" customWidth="1"/>
    <col min="4" max="4" width="18" style="5" customWidth="1"/>
    <col min="5" max="5" width="21.140625" style="5" customWidth="1"/>
    <col min="6" max="6" width="10.140625" style="5" customWidth="1"/>
    <col min="7" max="7" width="17.85546875" style="5" customWidth="1"/>
    <col min="8" max="16384" width="9.140625" style="5"/>
  </cols>
  <sheetData>
    <row r="1" spans="1:10" ht="15.75" thickBot="1" x14ac:dyDescent="0.3">
      <c r="A1" s="344" t="s">
        <v>324</v>
      </c>
    </row>
    <row r="2" spans="1:10" x14ac:dyDescent="0.25">
      <c r="A2" s="405" t="s">
        <v>149</v>
      </c>
      <c r="B2" s="405"/>
      <c r="C2" s="405"/>
      <c r="D2" s="405"/>
      <c r="E2" s="405"/>
      <c r="F2" s="405"/>
      <c r="G2" s="405"/>
    </row>
    <row r="3" spans="1:10" s="132" customFormat="1" ht="17.100000000000001" customHeight="1" x14ac:dyDescent="0.25">
      <c r="A3" s="406" t="s">
        <v>150</v>
      </c>
      <c r="B3" s="406"/>
      <c r="C3" s="406"/>
      <c r="D3" s="406"/>
      <c r="E3" s="406"/>
      <c r="F3" s="406"/>
      <c r="G3" s="406"/>
    </row>
    <row r="4" spans="1:10" ht="60" customHeight="1" x14ac:dyDescent="0.25">
      <c r="A4" s="49" t="s">
        <v>35</v>
      </c>
      <c r="B4" s="49" t="s">
        <v>33</v>
      </c>
      <c r="C4" s="49" t="s">
        <v>42</v>
      </c>
      <c r="D4" s="49" t="s">
        <v>38</v>
      </c>
      <c r="E4" s="49" t="s">
        <v>39</v>
      </c>
      <c r="F4" s="49" t="s">
        <v>50</v>
      </c>
      <c r="G4" s="49" t="s">
        <v>151</v>
      </c>
    </row>
    <row r="5" spans="1:10" ht="12.75" customHeight="1" x14ac:dyDescent="0.25">
      <c r="A5" s="69">
        <v>1</v>
      </c>
      <c r="B5" s="69">
        <v>2</v>
      </c>
      <c r="C5" s="70">
        <v>3</v>
      </c>
      <c r="D5" s="69" t="s">
        <v>34</v>
      </c>
      <c r="E5" s="71" t="s">
        <v>44</v>
      </c>
      <c r="F5" s="71">
        <v>6</v>
      </c>
      <c r="G5" s="69" t="s">
        <v>51</v>
      </c>
    </row>
    <row r="6" spans="1:10" x14ac:dyDescent="0.25">
      <c r="A6" s="15" t="s">
        <v>152</v>
      </c>
      <c r="B6" s="9">
        <v>176.75</v>
      </c>
      <c r="C6" s="414">
        <v>2002</v>
      </c>
      <c r="D6" s="48">
        <f>ROUND(B6/C6,2)</f>
        <v>0.09</v>
      </c>
      <c r="E6" s="428">
        <f>ROUND(AVERAGE(D6:D7),2)</f>
        <v>0.09</v>
      </c>
      <c r="F6" s="429">
        <v>7</v>
      </c>
      <c r="G6" s="408">
        <f>ROUND(E6*F6+E8*F8,2)</f>
        <v>0.71</v>
      </c>
      <c r="J6" s="152"/>
    </row>
    <row r="7" spans="1:10" x14ac:dyDescent="0.25">
      <c r="A7" s="15" t="s">
        <v>36</v>
      </c>
      <c r="B7" s="9">
        <v>176.75</v>
      </c>
      <c r="C7" s="414"/>
      <c r="D7" s="48">
        <f>B7/C6</f>
        <v>8.8286713286713281E-2</v>
      </c>
      <c r="E7" s="428"/>
      <c r="F7" s="429"/>
      <c r="G7" s="408"/>
    </row>
    <row r="8" spans="1:10" x14ac:dyDescent="0.25">
      <c r="A8" s="15" t="s">
        <v>37</v>
      </c>
      <c r="B8" s="9">
        <v>75.75</v>
      </c>
      <c r="C8" s="414"/>
      <c r="D8" s="48">
        <f>ROUND(B8/C6,2)</f>
        <v>0.04</v>
      </c>
      <c r="E8" s="48">
        <f>D8</f>
        <v>0.04</v>
      </c>
      <c r="F8" s="9">
        <v>2</v>
      </c>
      <c r="G8" s="408"/>
    </row>
    <row r="9" spans="1:10" x14ac:dyDescent="0.25">
      <c r="B9" s="131"/>
      <c r="C9" s="153"/>
      <c r="D9" s="154"/>
      <c r="E9" s="154"/>
      <c r="F9" s="154"/>
      <c r="G9" s="155"/>
    </row>
    <row r="10" spans="1:10" ht="30" customHeight="1" x14ac:dyDescent="0.25">
      <c r="A10" s="407" t="s">
        <v>153</v>
      </c>
      <c r="B10" s="407"/>
      <c r="C10" s="407"/>
      <c r="D10" s="407"/>
      <c r="E10" s="407"/>
      <c r="F10" s="407"/>
      <c r="G10" s="407"/>
    </row>
    <row r="11" spans="1:10" ht="33" customHeight="1" x14ac:dyDescent="0.25">
      <c r="A11" s="407" t="s">
        <v>80</v>
      </c>
      <c r="B11" s="407"/>
      <c r="C11" s="407"/>
      <c r="D11" s="407"/>
      <c r="E11" s="407"/>
      <c r="F11" s="407"/>
      <c r="G11" s="407"/>
    </row>
    <row r="12" spans="1:10" ht="47.25" customHeight="1" x14ac:dyDescent="0.25">
      <c r="A12" s="407" t="s">
        <v>154</v>
      </c>
      <c r="B12" s="407"/>
      <c r="C12" s="407"/>
      <c r="D12" s="407"/>
      <c r="E12" s="407"/>
      <c r="F12" s="407"/>
      <c r="G12" s="407"/>
    </row>
    <row r="13" spans="1:10" ht="18.75" customHeight="1" x14ac:dyDescent="0.25">
      <c r="A13" s="407" t="s">
        <v>155</v>
      </c>
      <c r="B13" s="407"/>
      <c r="C13" s="407"/>
      <c r="D13" s="407"/>
      <c r="E13" s="407"/>
      <c r="F13" s="407"/>
      <c r="G13" s="407"/>
    </row>
  </sheetData>
  <mergeCells count="10">
    <mergeCell ref="A10:G10"/>
    <mergeCell ref="A11:G11"/>
    <mergeCell ref="A12:G12"/>
    <mergeCell ref="A13:G13"/>
    <mergeCell ref="A2:G2"/>
    <mergeCell ref="A3:G3"/>
    <mergeCell ref="C6:C8"/>
    <mergeCell ref="E6:E7"/>
    <mergeCell ref="F6:F7"/>
    <mergeCell ref="G6:G8"/>
  </mergeCells>
  <hyperlinks>
    <hyperlink ref="A1" location="SATURS!A1" display="ATPAKAĻ uz SATURU" xr:uid="{DBCB82DA-984B-4CE5-A0CA-AF1A366B4064}"/>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66EA-82BE-4A2F-B455-4F6231C0F45B}">
  <dimension ref="A1:B4"/>
  <sheetViews>
    <sheetView zoomScale="99" zoomScaleNormal="99" workbookViewId="0"/>
  </sheetViews>
  <sheetFormatPr defaultRowHeight="12.75" x14ac:dyDescent="0.2"/>
  <cols>
    <col min="1" max="1" width="22.140625" customWidth="1"/>
    <col min="2" max="2" width="110" customWidth="1"/>
  </cols>
  <sheetData>
    <row r="1" spans="1:2" ht="13.5" thickBot="1" x14ac:dyDescent="0.25">
      <c r="A1" s="344" t="s">
        <v>324</v>
      </c>
    </row>
    <row r="2" spans="1:2" ht="12.75" customHeight="1" x14ac:dyDescent="0.2">
      <c r="A2" s="430" t="s">
        <v>156</v>
      </c>
      <c r="B2" s="430"/>
    </row>
    <row r="3" spans="1:2" ht="36.75" customHeight="1" x14ac:dyDescent="0.2">
      <c r="A3" s="431" t="s">
        <v>157</v>
      </c>
      <c r="B3" s="431"/>
    </row>
    <row r="4" spans="1:2" ht="136.5" customHeight="1" x14ac:dyDescent="0.2">
      <c r="A4" s="417" t="s">
        <v>158</v>
      </c>
      <c r="B4" s="432"/>
    </row>
  </sheetData>
  <mergeCells count="3">
    <mergeCell ref="A2:B2"/>
    <mergeCell ref="A3:B3"/>
    <mergeCell ref="A4:B4"/>
  </mergeCells>
  <hyperlinks>
    <hyperlink ref="A1" location="SATURS!A1" display="ATPAKAĻ uz SATURU" xr:uid="{E564234C-C02A-46D2-807F-A2161D1B7776}"/>
  </hyperlink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537C-4C95-4F90-A8B3-10D07363A493}">
  <sheetPr>
    <pageSetUpPr fitToPage="1"/>
  </sheetPr>
  <dimension ref="A1:J15"/>
  <sheetViews>
    <sheetView zoomScale="136" zoomScaleNormal="136" workbookViewId="0"/>
  </sheetViews>
  <sheetFormatPr defaultColWidth="9.140625" defaultRowHeight="15" x14ac:dyDescent="0.25"/>
  <cols>
    <col min="1" max="1" width="31.7109375" style="1" customWidth="1"/>
    <col min="2" max="2" width="9.140625" style="1"/>
    <col min="3" max="3" width="11.42578125" style="1" customWidth="1"/>
    <col min="4" max="4" width="10.140625" style="1" bestFit="1" customWidth="1"/>
    <col min="5" max="5" width="28.85546875" style="1" customWidth="1"/>
    <col min="6" max="6" width="52" style="1" customWidth="1"/>
    <col min="7" max="7" width="69.5703125" style="1" customWidth="1"/>
    <col min="8" max="16384" width="9.140625" style="1"/>
  </cols>
  <sheetData>
    <row r="1" spans="1:10" ht="15.75" thickBot="1" x14ac:dyDescent="0.3">
      <c r="A1" s="344" t="s">
        <v>324</v>
      </c>
    </row>
    <row r="2" spans="1:10" x14ac:dyDescent="0.25">
      <c r="A2" s="390" t="s">
        <v>159</v>
      </c>
      <c r="B2" s="390"/>
      <c r="C2" s="390"/>
      <c r="D2" s="390"/>
      <c r="E2" s="390"/>
      <c r="F2" s="390"/>
      <c r="G2" s="390"/>
      <c r="H2" s="156"/>
    </row>
    <row r="3" spans="1:10" x14ac:dyDescent="0.25">
      <c r="A3" s="406" t="s">
        <v>391</v>
      </c>
      <c r="B3" s="406"/>
      <c r="C3" s="406"/>
      <c r="D3" s="406"/>
      <c r="E3" s="406"/>
      <c r="F3" s="406"/>
      <c r="G3" s="406"/>
    </row>
    <row r="4" spans="1:10" ht="57" x14ac:dyDescent="0.25">
      <c r="A4" s="383"/>
      <c r="B4" s="384" t="s">
        <v>9</v>
      </c>
      <c r="C4" s="114" t="s">
        <v>329</v>
      </c>
      <c r="D4" s="114" t="s">
        <v>160</v>
      </c>
      <c r="E4" s="384" t="s">
        <v>0</v>
      </c>
      <c r="F4" s="385" t="s">
        <v>92</v>
      </c>
      <c r="G4" s="385" t="s">
        <v>93</v>
      </c>
    </row>
    <row r="5" spans="1:10" x14ac:dyDescent="0.25">
      <c r="A5" s="383"/>
      <c r="B5" s="384"/>
      <c r="C5" s="55" t="s">
        <v>26</v>
      </c>
      <c r="D5" s="55" t="s">
        <v>26</v>
      </c>
      <c r="E5" s="384"/>
      <c r="F5" s="385"/>
      <c r="G5" s="385"/>
    </row>
    <row r="6" spans="1:10" ht="90" x14ac:dyDescent="0.25">
      <c r="A6" s="13" t="s">
        <v>4</v>
      </c>
      <c r="B6" s="13">
        <f>SUM(B7:B11)</f>
        <v>2.7</v>
      </c>
      <c r="C6" s="14">
        <f>SUM(C7:C11)</f>
        <v>273.21000000000004</v>
      </c>
      <c r="D6" s="14">
        <f>SUM(D7:D11)</f>
        <v>13.010000000000002</v>
      </c>
      <c r="E6" s="13"/>
      <c r="F6" s="157" t="s">
        <v>161</v>
      </c>
      <c r="G6" s="157" t="s">
        <v>399</v>
      </c>
    </row>
    <row r="7" spans="1:10" ht="199.5" customHeight="1" x14ac:dyDescent="0.25">
      <c r="A7" s="6" t="s">
        <v>162</v>
      </c>
      <c r="B7" s="9">
        <v>1</v>
      </c>
      <c r="C7" s="352">
        <f>4.04*21</f>
        <v>84.84</v>
      </c>
      <c r="D7" s="51">
        <f>ROUND((1357.09/16/21)*1,2)</f>
        <v>4.04</v>
      </c>
      <c r="E7" s="359" t="s">
        <v>342</v>
      </c>
      <c r="F7" s="361" t="s">
        <v>343</v>
      </c>
      <c r="G7" s="361" t="s">
        <v>368</v>
      </c>
      <c r="H7" s="2"/>
      <c r="I7" s="2"/>
    </row>
    <row r="8" spans="1:10" ht="183.75" customHeight="1" x14ac:dyDescent="0.25">
      <c r="A8" s="6" t="s">
        <v>163</v>
      </c>
      <c r="B8" s="9">
        <v>0.5</v>
      </c>
      <c r="C8" s="9">
        <f>2.02*21</f>
        <v>42.42</v>
      </c>
      <c r="D8" s="51">
        <f>ROUND((1357.09/16/21)*0.5,2)</f>
        <v>2.02</v>
      </c>
      <c r="E8" s="359" t="s">
        <v>336</v>
      </c>
      <c r="F8" s="361" t="s">
        <v>344</v>
      </c>
      <c r="G8" s="360" t="s">
        <v>369</v>
      </c>
      <c r="H8" s="2"/>
      <c r="I8" s="2"/>
    </row>
    <row r="9" spans="1:10" ht="180" x14ac:dyDescent="0.25">
      <c r="A9" s="8" t="s">
        <v>164</v>
      </c>
      <c r="B9" s="9">
        <v>0.5</v>
      </c>
      <c r="C9" s="51">
        <f>2.75*21</f>
        <v>57.75</v>
      </c>
      <c r="D9" s="51">
        <f>ROUND((1849.51/16/21)*0.5,2)</f>
        <v>2.75</v>
      </c>
      <c r="E9" s="359" t="s">
        <v>330</v>
      </c>
      <c r="F9" s="361" t="s">
        <v>345</v>
      </c>
      <c r="G9" s="361" t="s">
        <v>370</v>
      </c>
      <c r="H9" s="2"/>
      <c r="I9" s="2"/>
      <c r="J9" s="2"/>
    </row>
    <row r="10" spans="1:10" ht="180" x14ac:dyDescent="0.25">
      <c r="A10" s="8" t="s">
        <v>165</v>
      </c>
      <c r="B10" s="117">
        <v>0.5</v>
      </c>
      <c r="C10" s="10">
        <f>3.24*21</f>
        <v>68.040000000000006</v>
      </c>
      <c r="D10" s="51">
        <f>ROUND((2177.78/16/21)*0.5,2)</f>
        <v>3.24</v>
      </c>
      <c r="E10" s="359" t="s">
        <v>346</v>
      </c>
      <c r="F10" s="361" t="s">
        <v>347</v>
      </c>
      <c r="G10" s="361" t="s">
        <v>366</v>
      </c>
      <c r="H10" s="2"/>
      <c r="I10" s="2"/>
      <c r="J10" s="2"/>
    </row>
    <row r="11" spans="1:10" ht="172.5" customHeight="1" x14ac:dyDescent="0.25">
      <c r="A11" s="8" t="s">
        <v>166</v>
      </c>
      <c r="B11" s="117">
        <v>0.2</v>
      </c>
      <c r="C11" s="117">
        <f>0.96*21</f>
        <v>20.16</v>
      </c>
      <c r="D11" s="51">
        <f>ROUND((1610.91/16/21)*0.2,2)</f>
        <v>0.96</v>
      </c>
      <c r="E11" s="359" t="s">
        <v>348</v>
      </c>
      <c r="F11" s="191" t="s">
        <v>349</v>
      </c>
      <c r="G11" s="191" t="s">
        <v>367</v>
      </c>
      <c r="H11" s="2"/>
      <c r="I11" s="2"/>
      <c r="J11" s="2"/>
    </row>
    <row r="12" spans="1:10" ht="103.5" customHeight="1" x14ac:dyDescent="0.25">
      <c r="A12" s="13" t="s">
        <v>101</v>
      </c>
      <c r="B12" s="158"/>
      <c r="C12" s="14">
        <f>D12*21</f>
        <v>163.79999999999998</v>
      </c>
      <c r="D12" s="14">
        <v>7.8</v>
      </c>
      <c r="E12" s="363" t="s">
        <v>167</v>
      </c>
      <c r="F12" s="433" t="s">
        <v>168</v>
      </c>
      <c r="G12" s="434"/>
    </row>
    <row r="13" spans="1:10" x14ac:dyDescent="0.25">
      <c r="A13" s="118" t="s">
        <v>57</v>
      </c>
      <c r="B13" s="119"/>
      <c r="C13" s="159">
        <f>C12+C6</f>
        <v>437.01</v>
      </c>
      <c r="D13" s="159">
        <f>D12+D6</f>
        <v>20.810000000000002</v>
      </c>
      <c r="E13" s="160"/>
      <c r="F13" s="161"/>
      <c r="G13" s="161"/>
      <c r="H13" s="2"/>
    </row>
    <row r="14" spans="1:10" x14ac:dyDescent="0.25">
      <c r="D14" s="2"/>
    </row>
    <row r="15" spans="1:10" x14ac:dyDescent="0.25">
      <c r="D15" s="2"/>
    </row>
  </sheetData>
  <mergeCells count="8">
    <mergeCell ref="F12:G12"/>
    <mergeCell ref="A2:G2"/>
    <mergeCell ref="A3:G3"/>
    <mergeCell ref="A4:A5"/>
    <mergeCell ref="B4:B5"/>
    <mergeCell ref="E4:E5"/>
    <mergeCell ref="F4:F5"/>
    <mergeCell ref="G4:G5"/>
  </mergeCells>
  <hyperlinks>
    <hyperlink ref="A1" location="SATURS!A1" display="ATPAKAĻ uz SATURU" xr:uid="{C04A8180-81BE-4B23-80C4-0D61BDAB8A1C}"/>
  </hyperlinks>
  <pageMargins left="0.70866141732283472" right="0.70866141732283472" top="0.74803149606299213" bottom="0.74803149606299213" header="0.31496062992125984" footer="0.31496062992125984"/>
  <pageSetup paperSize="9"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914E4-607B-4F6C-B180-E4D7DD5E8CB5}">
  <sheetPr>
    <pageSetUpPr fitToPage="1"/>
  </sheetPr>
  <dimension ref="A1:AD29"/>
  <sheetViews>
    <sheetView topLeftCell="A16" zoomScale="98" zoomScaleNormal="98" workbookViewId="0">
      <selection activeCell="AC24" sqref="AC24"/>
    </sheetView>
  </sheetViews>
  <sheetFormatPr defaultColWidth="9.140625" defaultRowHeight="15" x14ac:dyDescent="0.25"/>
  <cols>
    <col min="1" max="1" width="4.140625" style="1" customWidth="1"/>
    <col min="2" max="2" width="21.140625" style="1" customWidth="1"/>
    <col min="3" max="3" width="7.140625" style="1" customWidth="1"/>
    <col min="4" max="4" width="7.28515625" style="1" customWidth="1"/>
    <col min="5" max="5" width="6.42578125" style="1" customWidth="1"/>
    <col min="6" max="6" width="8.7109375" style="1" customWidth="1"/>
    <col min="7" max="7" width="8.28515625" style="1" customWidth="1"/>
    <col min="8" max="8" width="6.28515625" style="1" customWidth="1"/>
    <col min="9" max="9" width="7.7109375" style="1" customWidth="1"/>
    <col min="10" max="10" width="8.85546875" style="1" customWidth="1"/>
    <col min="11" max="11" width="13.42578125" style="1" customWidth="1"/>
    <col min="12" max="12" width="6.42578125" style="1" customWidth="1"/>
    <col min="13" max="14" width="6.5703125" style="1" customWidth="1"/>
    <col min="15" max="18" width="6" style="1" customWidth="1"/>
    <col min="19" max="19" width="6.140625" style="1" customWidth="1"/>
    <col min="20" max="20" width="13.42578125" style="1" customWidth="1"/>
    <col min="21" max="28" width="6.140625" style="1" customWidth="1"/>
    <col min="29" max="29" width="13.42578125" style="1" customWidth="1"/>
    <col min="30" max="30" width="16.42578125" style="1" customWidth="1"/>
    <col min="31" max="16384" width="9.140625" style="1"/>
  </cols>
  <sheetData>
    <row r="1" spans="1:30" ht="15.75" thickBot="1" x14ac:dyDescent="0.3">
      <c r="B1" s="344" t="s">
        <v>324</v>
      </c>
    </row>
    <row r="2" spans="1:30" x14ac:dyDescent="0.25">
      <c r="A2" s="390" t="s">
        <v>169</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row>
    <row r="3" spans="1:30" ht="15.75" thickBot="1" x14ac:dyDescent="0.3">
      <c r="A3" s="436" t="s">
        <v>170</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row>
    <row r="4" spans="1:30" ht="15.75" thickBot="1" x14ac:dyDescent="0.3">
      <c r="A4" s="437" t="s">
        <v>32</v>
      </c>
      <c r="B4" s="421" t="s">
        <v>10</v>
      </c>
      <c r="C4" s="438" t="s">
        <v>107</v>
      </c>
      <c r="D4" s="439"/>
      <c r="E4" s="439"/>
      <c r="F4" s="439"/>
      <c r="G4" s="439"/>
      <c r="H4" s="439"/>
      <c r="I4" s="439"/>
      <c r="J4" s="439"/>
      <c r="K4" s="440"/>
      <c r="L4" s="438" t="s">
        <v>125</v>
      </c>
      <c r="M4" s="439"/>
      <c r="N4" s="439"/>
      <c r="O4" s="439"/>
      <c r="P4" s="439"/>
      <c r="Q4" s="439"/>
      <c r="R4" s="439"/>
      <c r="S4" s="439"/>
      <c r="T4" s="440"/>
      <c r="U4" s="441" t="s">
        <v>127</v>
      </c>
      <c r="V4" s="442"/>
      <c r="W4" s="442"/>
      <c r="X4" s="442"/>
      <c r="Y4" s="442"/>
      <c r="Z4" s="442"/>
      <c r="AA4" s="442"/>
      <c r="AB4" s="442"/>
      <c r="AC4" s="402"/>
      <c r="AD4" s="443" t="s">
        <v>171</v>
      </c>
    </row>
    <row r="5" spans="1:30" ht="45" x14ac:dyDescent="0.25">
      <c r="A5" s="437"/>
      <c r="B5" s="421"/>
      <c r="C5" s="162" t="s">
        <v>172</v>
      </c>
      <c r="D5" s="162" t="s">
        <v>173</v>
      </c>
      <c r="E5" s="162" t="s">
        <v>174</v>
      </c>
      <c r="F5" s="162" t="s">
        <v>175</v>
      </c>
      <c r="G5" s="162" t="s">
        <v>176</v>
      </c>
      <c r="H5" s="162" t="s">
        <v>177</v>
      </c>
      <c r="I5" s="162" t="s">
        <v>178</v>
      </c>
      <c r="J5" s="162" t="s">
        <v>179</v>
      </c>
      <c r="K5" s="163" t="s">
        <v>180</v>
      </c>
      <c r="L5" s="162" t="s">
        <v>172</v>
      </c>
      <c r="M5" s="162" t="s">
        <v>173</v>
      </c>
      <c r="N5" s="162" t="s">
        <v>174</v>
      </c>
      <c r="O5" s="162" t="s">
        <v>175</v>
      </c>
      <c r="P5" s="162" t="s">
        <v>176</v>
      </c>
      <c r="Q5" s="162" t="s">
        <v>177</v>
      </c>
      <c r="R5" s="162" t="s">
        <v>178</v>
      </c>
      <c r="S5" s="162" t="s">
        <v>179</v>
      </c>
      <c r="T5" s="163" t="s">
        <v>181</v>
      </c>
      <c r="U5" s="162" t="s">
        <v>172</v>
      </c>
      <c r="V5" s="162" t="s">
        <v>173</v>
      </c>
      <c r="W5" s="162" t="s">
        <v>174</v>
      </c>
      <c r="X5" s="162" t="s">
        <v>175</v>
      </c>
      <c r="Y5" s="162" t="s">
        <v>176</v>
      </c>
      <c r="Z5" s="162" t="s">
        <v>177</v>
      </c>
      <c r="AA5" s="162" t="s">
        <v>178</v>
      </c>
      <c r="AB5" s="162" t="s">
        <v>179</v>
      </c>
      <c r="AC5" s="163" t="s">
        <v>182</v>
      </c>
      <c r="AD5" s="444"/>
    </row>
    <row r="6" spans="1:30" x14ac:dyDescent="0.25">
      <c r="A6" s="9">
        <v>1</v>
      </c>
      <c r="B6" s="107" t="s">
        <v>53</v>
      </c>
      <c r="C6" s="85">
        <v>10.77</v>
      </c>
      <c r="D6" s="85">
        <v>9.85</v>
      </c>
      <c r="E6" s="85"/>
      <c r="F6" s="85">
        <v>6.08</v>
      </c>
      <c r="G6" s="164">
        <v>9.7200000000000006</v>
      </c>
      <c r="H6" s="164"/>
      <c r="I6" s="164">
        <v>4.38</v>
      </c>
      <c r="J6" s="85">
        <v>12.24</v>
      </c>
      <c r="K6" s="75">
        <f>ROUND(AVERAGE(C6:J6),2)</f>
        <v>8.84</v>
      </c>
      <c r="L6" s="85">
        <v>10.92</v>
      </c>
      <c r="M6" s="85">
        <v>10.55</v>
      </c>
      <c r="N6" s="85">
        <v>9.56</v>
      </c>
      <c r="O6" s="85">
        <v>6.08</v>
      </c>
      <c r="P6" s="164">
        <v>9.7200000000000006</v>
      </c>
      <c r="Q6" s="85"/>
      <c r="R6" s="85">
        <v>4.9000000000000004</v>
      </c>
      <c r="S6" s="85">
        <v>12.24</v>
      </c>
      <c r="T6" s="75">
        <f t="shared" ref="T6:T18" si="0">ROUND(AVERAGE(L6:S6),2)</f>
        <v>9.14</v>
      </c>
      <c r="U6" s="85">
        <v>10.8</v>
      </c>
      <c r="V6" s="85">
        <v>10.88</v>
      </c>
      <c r="W6" s="85">
        <v>10.34</v>
      </c>
      <c r="X6" s="85">
        <v>6.08</v>
      </c>
      <c r="Y6" s="164">
        <v>9.7200000000000006</v>
      </c>
      <c r="Z6" s="85"/>
      <c r="AA6" s="85">
        <v>5.2</v>
      </c>
      <c r="AB6" s="85">
        <v>12.24</v>
      </c>
      <c r="AC6" s="75">
        <f>ROUND(AVERAGE(U6:AB6),2)</f>
        <v>9.32</v>
      </c>
      <c r="AD6" s="77">
        <f t="shared" ref="AD6:AD18" si="1">ROUND((K6+T6+AC6)/3,2)</f>
        <v>9.1</v>
      </c>
    </row>
    <row r="7" spans="1:30" ht="45" x14ac:dyDescent="0.25">
      <c r="A7" s="9">
        <v>2</v>
      </c>
      <c r="B7" s="107" t="s">
        <v>6</v>
      </c>
      <c r="C7" s="36">
        <v>7.0000000000000007E-2</v>
      </c>
      <c r="D7" s="36">
        <v>0.1</v>
      </c>
      <c r="E7" s="36"/>
      <c r="F7" s="36">
        <v>0.28999999999999998</v>
      </c>
      <c r="G7" s="165">
        <v>0.18</v>
      </c>
      <c r="H7" s="165"/>
      <c r="I7" s="165">
        <v>0.01</v>
      </c>
      <c r="J7" s="36">
        <v>7.0000000000000007E-2</v>
      </c>
      <c r="K7" s="31">
        <f t="shared" ref="K7:K18" si="2">ROUND(AVERAGE(C7:J7),2)</f>
        <v>0.12</v>
      </c>
      <c r="L7" s="36">
        <v>7.0000000000000007E-2</v>
      </c>
      <c r="M7" s="36">
        <v>7.0000000000000007E-2</v>
      </c>
      <c r="N7" s="36">
        <v>7.0000000000000007E-2</v>
      </c>
      <c r="O7" s="36">
        <v>0.28999999999999998</v>
      </c>
      <c r="P7" s="165">
        <v>0.18</v>
      </c>
      <c r="Q7" s="36">
        <v>0.5</v>
      </c>
      <c r="R7" s="36">
        <v>0.01</v>
      </c>
      <c r="S7" s="36">
        <v>7.0000000000000007E-2</v>
      </c>
      <c r="T7" s="31">
        <f t="shared" si="0"/>
        <v>0.16</v>
      </c>
      <c r="U7" s="36">
        <v>0.08</v>
      </c>
      <c r="V7" s="36">
        <v>0.05</v>
      </c>
      <c r="W7" s="36">
        <v>0.09</v>
      </c>
      <c r="X7" s="36">
        <v>0.28999999999999998</v>
      </c>
      <c r="Y7" s="165">
        <v>0.18</v>
      </c>
      <c r="Z7" s="36">
        <v>0.5</v>
      </c>
      <c r="AA7" s="36">
        <v>0.01</v>
      </c>
      <c r="AB7" s="36">
        <v>7.0000000000000007E-2</v>
      </c>
      <c r="AC7" s="31">
        <f>ROUND(AVERAGE(U7:AB7),2)</f>
        <v>0.16</v>
      </c>
      <c r="AD7" s="166">
        <f t="shared" si="1"/>
        <v>0.15</v>
      </c>
    </row>
    <row r="8" spans="1:30" x14ac:dyDescent="0.25">
      <c r="A8" s="9">
        <v>3</v>
      </c>
      <c r="B8" s="15" t="s">
        <v>117</v>
      </c>
      <c r="C8" s="36">
        <v>2.13</v>
      </c>
      <c r="D8" s="36">
        <v>1.88</v>
      </c>
      <c r="E8" s="36"/>
      <c r="F8" s="36">
        <v>1.2</v>
      </c>
      <c r="G8" s="165">
        <v>1.69</v>
      </c>
      <c r="H8" s="165"/>
      <c r="I8" s="165"/>
      <c r="J8" s="36">
        <v>1.67</v>
      </c>
      <c r="K8" s="31">
        <f t="shared" si="2"/>
        <v>1.71</v>
      </c>
      <c r="L8" s="36">
        <v>2.13</v>
      </c>
      <c r="M8" s="36">
        <v>1.88</v>
      </c>
      <c r="N8" s="36">
        <v>0</v>
      </c>
      <c r="O8" s="36">
        <v>1.2</v>
      </c>
      <c r="P8" s="165">
        <v>1.69</v>
      </c>
      <c r="Q8" s="36"/>
      <c r="R8" s="36"/>
      <c r="S8" s="36">
        <v>1.67</v>
      </c>
      <c r="T8" s="31">
        <f t="shared" si="0"/>
        <v>1.43</v>
      </c>
      <c r="U8" s="36">
        <v>2.13</v>
      </c>
      <c r="V8" s="36">
        <v>2.5</v>
      </c>
      <c r="W8" s="36">
        <v>0</v>
      </c>
      <c r="X8" s="36">
        <v>1.2</v>
      </c>
      <c r="Y8" s="165">
        <v>1.69</v>
      </c>
      <c r="Z8" s="36"/>
      <c r="AA8" s="36"/>
      <c r="AB8" s="36">
        <v>1.67</v>
      </c>
      <c r="AC8" s="31">
        <f t="shared" ref="AC8:AC18" si="3">ROUND(AVERAGE(U8:AB8),2)</f>
        <v>1.53</v>
      </c>
      <c r="AD8" s="166">
        <f t="shared" si="1"/>
        <v>1.56</v>
      </c>
    </row>
    <row r="9" spans="1:30" ht="30" x14ac:dyDescent="0.25">
      <c r="A9" s="9">
        <v>4</v>
      </c>
      <c r="B9" s="107" t="s">
        <v>3</v>
      </c>
      <c r="C9" s="36">
        <v>7.0000000000000007E-2</v>
      </c>
      <c r="D9" s="36">
        <v>0.35</v>
      </c>
      <c r="E9" s="36"/>
      <c r="F9" s="36">
        <v>0.21</v>
      </c>
      <c r="G9" s="165">
        <v>0.09</v>
      </c>
      <c r="H9" s="165"/>
      <c r="I9" s="165"/>
      <c r="J9" s="36">
        <v>0.1</v>
      </c>
      <c r="K9" s="31">
        <f t="shared" si="2"/>
        <v>0.16</v>
      </c>
      <c r="L9" s="36">
        <v>7.0000000000000007E-2</v>
      </c>
      <c r="M9" s="36">
        <v>0.28999999999999998</v>
      </c>
      <c r="N9" s="36">
        <v>0.65</v>
      </c>
      <c r="O9" s="36">
        <v>0.21</v>
      </c>
      <c r="P9" s="165">
        <v>0.09</v>
      </c>
      <c r="Q9" s="36">
        <v>0.5</v>
      </c>
      <c r="R9" s="36"/>
      <c r="S9" s="36">
        <v>0.1</v>
      </c>
      <c r="T9" s="31">
        <f t="shared" si="0"/>
        <v>0.27</v>
      </c>
      <c r="U9" s="36">
        <v>7.0000000000000007E-2</v>
      </c>
      <c r="V9" s="36">
        <v>0.11</v>
      </c>
      <c r="W9" s="36">
        <v>0.7</v>
      </c>
      <c r="X9" s="36">
        <v>0.21</v>
      </c>
      <c r="Y9" s="165">
        <v>0.09</v>
      </c>
      <c r="Z9" s="36">
        <v>0.5</v>
      </c>
      <c r="AA9" s="36"/>
      <c r="AB9" s="36">
        <v>0.1</v>
      </c>
      <c r="AC9" s="31">
        <f t="shared" si="3"/>
        <v>0.25</v>
      </c>
      <c r="AD9" s="166">
        <f t="shared" si="1"/>
        <v>0.23</v>
      </c>
    </row>
    <row r="10" spans="1:30" ht="30" x14ac:dyDescent="0.25">
      <c r="A10" s="9">
        <v>5</v>
      </c>
      <c r="B10" s="107" t="s">
        <v>118</v>
      </c>
      <c r="C10" s="36">
        <v>0.35</v>
      </c>
      <c r="D10" s="36">
        <v>0.5</v>
      </c>
      <c r="E10" s="36"/>
      <c r="F10" s="36">
        <v>0.16</v>
      </c>
      <c r="G10" s="165">
        <v>0.25</v>
      </c>
      <c r="H10" s="165"/>
      <c r="I10" s="165">
        <v>0.53</v>
      </c>
      <c r="J10" s="36">
        <v>1.91</v>
      </c>
      <c r="K10" s="31">
        <f t="shared" si="2"/>
        <v>0.62</v>
      </c>
      <c r="L10" s="36">
        <v>0.28999999999999998</v>
      </c>
      <c r="M10" s="36">
        <v>0.2</v>
      </c>
      <c r="N10" s="36">
        <v>2.4</v>
      </c>
      <c r="O10" s="36">
        <v>0.16</v>
      </c>
      <c r="P10" s="165">
        <v>0.25</v>
      </c>
      <c r="Q10" s="36">
        <v>2.2999999999999998</v>
      </c>
      <c r="R10" s="36">
        <v>0.59</v>
      </c>
      <c r="S10" s="36">
        <v>1.91</v>
      </c>
      <c r="T10" s="31">
        <f t="shared" si="0"/>
        <v>1.01</v>
      </c>
      <c r="U10" s="36">
        <v>0.33</v>
      </c>
      <c r="V10" s="36">
        <v>0.05</v>
      </c>
      <c r="W10" s="36">
        <v>2.5499999999999998</v>
      </c>
      <c r="X10" s="36">
        <v>0.16</v>
      </c>
      <c r="Y10" s="165">
        <v>0.25</v>
      </c>
      <c r="Z10" s="36">
        <v>2.2999999999999998</v>
      </c>
      <c r="AA10" s="36">
        <v>0.61</v>
      </c>
      <c r="AB10" s="36">
        <v>1.91</v>
      </c>
      <c r="AC10" s="31">
        <f t="shared" si="3"/>
        <v>1.02</v>
      </c>
      <c r="AD10" s="166">
        <f t="shared" si="1"/>
        <v>0.88</v>
      </c>
    </row>
    <row r="11" spans="1:30" ht="30" x14ac:dyDescent="0.25">
      <c r="A11" s="9">
        <v>6</v>
      </c>
      <c r="B11" s="107" t="s">
        <v>183</v>
      </c>
      <c r="C11" s="36">
        <v>7.0000000000000007E-2</v>
      </c>
      <c r="D11" s="36">
        <v>0.2</v>
      </c>
      <c r="E11" s="36"/>
      <c r="F11" s="36">
        <v>0.16</v>
      </c>
      <c r="G11" s="165">
        <v>7.0000000000000007E-2</v>
      </c>
      <c r="H11" s="165"/>
      <c r="I11" s="165"/>
      <c r="J11" s="36">
        <v>0.1</v>
      </c>
      <c r="K11" s="31">
        <f t="shared" si="2"/>
        <v>0.12</v>
      </c>
      <c r="L11" s="36">
        <v>0.05</v>
      </c>
      <c r="M11" s="36">
        <v>0.15</v>
      </c>
      <c r="N11" s="36">
        <v>0.15</v>
      </c>
      <c r="O11" s="36">
        <v>0.16</v>
      </c>
      <c r="P11" s="165">
        <v>7.0000000000000007E-2</v>
      </c>
      <c r="Q11" s="36">
        <v>1</v>
      </c>
      <c r="R11" s="36"/>
      <c r="S11" s="36">
        <v>0.1</v>
      </c>
      <c r="T11" s="31">
        <f t="shared" si="0"/>
        <v>0.24</v>
      </c>
      <c r="U11" s="36">
        <v>7.0000000000000007E-2</v>
      </c>
      <c r="V11" s="36">
        <v>0.02</v>
      </c>
      <c r="W11" s="36">
        <v>0.25</v>
      </c>
      <c r="X11" s="36">
        <v>0.16</v>
      </c>
      <c r="Y11" s="165">
        <v>7.0000000000000007E-2</v>
      </c>
      <c r="Z11" s="36">
        <v>1</v>
      </c>
      <c r="AA11" s="36"/>
      <c r="AB11" s="36">
        <v>0.1</v>
      </c>
      <c r="AC11" s="31">
        <f t="shared" si="3"/>
        <v>0.24</v>
      </c>
      <c r="AD11" s="166">
        <f t="shared" si="1"/>
        <v>0.2</v>
      </c>
    </row>
    <row r="12" spans="1:30" ht="45" x14ac:dyDescent="0.25">
      <c r="A12" s="9">
        <v>7</v>
      </c>
      <c r="B12" s="107" t="s">
        <v>20</v>
      </c>
      <c r="C12" s="36">
        <v>0.23</v>
      </c>
      <c r="D12" s="36">
        <v>0.2</v>
      </c>
      <c r="E12" s="36"/>
      <c r="F12" s="36">
        <v>0.11</v>
      </c>
      <c r="G12" s="165">
        <v>0.25</v>
      </c>
      <c r="H12" s="165"/>
      <c r="I12" s="165"/>
      <c r="J12" s="36">
        <v>0.38</v>
      </c>
      <c r="K12" s="31">
        <f t="shared" si="2"/>
        <v>0.23</v>
      </c>
      <c r="L12" s="36">
        <v>0.18</v>
      </c>
      <c r="M12" s="36">
        <v>0.15</v>
      </c>
      <c r="N12" s="36">
        <v>0</v>
      </c>
      <c r="O12" s="36">
        <v>0.11</v>
      </c>
      <c r="P12" s="165">
        <v>0.25</v>
      </c>
      <c r="Q12" s="36">
        <v>2</v>
      </c>
      <c r="R12" s="36"/>
      <c r="S12" s="36">
        <v>0.38</v>
      </c>
      <c r="T12" s="31">
        <f t="shared" si="0"/>
        <v>0.44</v>
      </c>
      <c r="U12" s="36">
        <v>0.24</v>
      </c>
      <c r="V12" s="36">
        <v>0.03</v>
      </c>
      <c r="W12" s="36">
        <v>0</v>
      </c>
      <c r="X12" s="36">
        <v>0.11</v>
      </c>
      <c r="Y12" s="165">
        <v>0.25</v>
      </c>
      <c r="Z12" s="36">
        <v>2</v>
      </c>
      <c r="AA12" s="36"/>
      <c r="AB12" s="36">
        <v>0.38</v>
      </c>
      <c r="AC12" s="31">
        <f t="shared" si="3"/>
        <v>0.43</v>
      </c>
      <c r="AD12" s="166">
        <f t="shared" si="1"/>
        <v>0.37</v>
      </c>
    </row>
    <row r="13" spans="1:30" ht="45" x14ac:dyDescent="0.25">
      <c r="A13" s="9">
        <v>8</v>
      </c>
      <c r="B13" s="107" t="s">
        <v>21</v>
      </c>
      <c r="C13" s="36">
        <v>1.1599999999999999</v>
      </c>
      <c r="D13" s="36">
        <v>1.1000000000000001</v>
      </c>
      <c r="E13" s="36"/>
      <c r="F13" s="36">
        <v>1.65</v>
      </c>
      <c r="G13" s="165">
        <v>2.33</v>
      </c>
      <c r="H13" s="165"/>
      <c r="I13" s="165">
        <v>0.97</v>
      </c>
      <c r="J13" s="36">
        <v>2.2400000000000002</v>
      </c>
      <c r="K13" s="31">
        <f t="shared" si="2"/>
        <v>1.58</v>
      </c>
      <c r="L13" s="36">
        <v>1.1599999999999999</v>
      </c>
      <c r="M13" s="36">
        <v>1.1499999999999999</v>
      </c>
      <c r="N13" s="36">
        <v>0.16</v>
      </c>
      <c r="O13" s="36">
        <v>1.65</v>
      </c>
      <c r="P13" s="165">
        <v>2.33</v>
      </c>
      <c r="Q13" s="36">
        <v>2</v>
      </c>
      <c r="R13" s="36">
        <v>1.1599999999999999</v>
      </c>
      <c r="S13" s="36">
        <v>2.2400000000000002</v>
      </c>
      <c r="T13" s="31">
        <f t="shared" si="0"/>
        <v>1.48</v>
      </c>
      <c r="U13" s="36">
        <v>1.1499999999999999</v>
      </c>
      <c r="V13" s="36">
        <v>1.18</v>
      </c>
      <c r="W13" s="36">
        <v>0.17</v>
      </c>
      <c r="X13" s="36">
        <v>1.65</v>
      </c>
      <c r="Y13" s="165">
        <v>2.33</v>
      </c>
      <c r="Z13" s="36">
        <v>2</v>
      </c>
      <c r="AA13" s="36">
        <v>1.25</v>
      </c>
      <c r="AB13" s="36">
        <v>2.2400000000000002</v>
      </c>
      <c r="AC13" s="31">
        <f t="shared" si="3"/>
        <v>1.5</v>
      </c>
      <c r="AD13" s="166">
        <f t="shared" si="1"/>
        <v>1.52</v>
      </c>
    </row>
    <row r="14" spans="1:30" ht="45" x14ac:dyDescent="0.25">
      <c r="A14" s="9">
        <v>9</v>
      </c>
      <c r="B14" s="107" t="s">
        <v>119</v>
      </c>
      <c r="C14" s="85">
        <v>0.04</v>
      </c>
      <c r="D14" s="85">
        <v>0.15</v>
      </c>
      <c r="E14" s="85"/>
      <c r="F14" s="85">
        <v>0</v>
      </c>
      <c r="G14" s="164">
        <v>0.15</v>
      </c>
      <c r="H14" s="164"/>
      <c r="I14" s="164"/>
      <c r="J14" s="85">
        <v>7.0000000000000007E-2</v>
      </c>
      <c r="K14" s="75">
        <f t="shared" si="2"/>
        <v>0.08</v>
      </c>
      <c r="L14" s="85">
        <v>0.02</v>
      </c>
      <c r="M14" s="85">
        <v>0.1</v>
      </c>
      <c r="N14" s="85">
        <v>0</v>
      </c>
      <c r="O14" s="85">
        <v>0</v>
      </c>
      <c r="P14" s="164">
        <v>0.15</v>
      </c>
      <c r="Q14" s="85"/>
      <c r="R14" s="85"/>
      <c r="S14" s="85">
        <v>7.0000000000000007E-2</v>
      </c>
      <c r="T14" s="75">
        <f t="shared" si="0"/>
        <v>0.06</v>
      </c>
      <c r="U14" s="85">
        <v>0.02</v>
      </c>
      <c r="V14" s="167">
        <v>0.05</v>
      </c>
      <c r="W14" s="168">
        <v>0</v>
      </c>
      <c r="X14" s="85">
        <v>0</v>
      </c>
      <c r="Y14" s="164">
        <v>0.15</v>
      </c>
      <c r="Z14" s="85"/>
      <c r="AA14" s="85"/>
      <c r="AB14" s="85">
        <v>7.0000000000000007E-2</v>
      </c>
      <c r="AC14" s="75">
        <f t="shared" si="3"/>
        <v>0.05</v>
      </c>
      <c r="AD14" s="77">
        <f t="shared" si="1"/>
        <v>0.06</v>
      </c>
    </row>
    <row r="15" spans="1:30" ht="30" x14ac:dyDescent="0.25">
      <c r="A15" s="9">
        <v>10</v>
      </c>
      <c r="B15" s="107" t="s">
        <v>22</v>
      </c>
      <c r="C15" s="36">
        <v>0.01</v>
      </c>
      <c r="D15" s="36">
        <v>0.2</v>
      </c>
      <c r="E15" s="36"/>
      <c r="F15" s="36">
        <v>0</v>
      </c>
      <c r="G15" s="165">
        <v>0.54</v>
      </c>
      <c r="H15" s="165"/>
      <c r="I15" s="165"/>
      <c r="J15" s="36">
        <v>0.48</v>
      </c>
      <c r="K15" s="31">
        <f t="shared" si="2"/>
        <v>0.25</v>
      </c>
      <c r="L15" s="36">
        <v>0.02</v>
      </c>
      <c r="M15" s="36">
        <v>0.15</v>
      </c>
      <c r="N15" s="36">
        <v>0</v>
      </c>
      <c r="O15" s="36">
        <v>0</v>
      </c>
      <c r="P15" s="165">
        <v>0.54</v>
      </c>
      <c r="Q15" s="36"/>
      <c r="R15" s="36"/>
      <c r="S15" s="36">
        <v>0.48</v>
      </c>
      <c r="T15" s="31">
        <f t="shared" si="0"/>
        <v>0.2</v>
      </c>
      <c r="U15" s="36">
        <v>0.02</v>
      </c>
      <c r="V15" s="169">
        <v>0.05</v>
      </c>
      <c r="W15" s="169">
        <v>0</v>
      </c>
      <c r="X15" s="36">
        <v>0</v>
      </c>
      <c r="Y15" s="165">
        <v>0.54</v>
      </c>
      <c r="Z15" s="36"/>
      <c r="AA15" s="36"/>
      <c r="AB15" s="36">
        <v>0.48</v>
      </c>
      <c r="AC15" s="31">
        <f t="shared" si="3"/>
        <v>0.18</v>
      </c>
      <c r="AD15" s="166">
        <f t="shared" si="1"/>
        <v>0.21</v>
      </c>
    </row>
    <row r="16" spans="1:30" ht="90" x14ac:dyDescent="0.25">
      <c r="A16" s="9">
        <v>11</v>
      </c>
      <c r="B16" s="107" t="s">
        <v>23</v>
      </c>
      <c r="C16" s="36">
        <v>0.19</v>
      </c>
      <c r="D16" s="36">
        <v>0.15</v>
      </c>
      <c r="E16" s="36"/>
      <c r="F16" s="36">
        <v>0.18</v>
      </c>
      <c r="G16" s="165">
        <v>0.11</v>
      </c>
      <c r="H16" s="165"/>
      <c r="I16" s="165">
        <v>1.22</v>
      </c>
      <c r="J16" s="36">
        <v>7.0000000000000007E-2</v>
      </c>
      <c r="K16" s="31">
        <f t="shared" si="2"/>
        <v>0.32</v>
      </c>
      <c r="L16" s="36">
        <v>0.18</v>
      </c>
      <c r="M16" s="36">
        <v>0.1</v>
      </c>
      <c r="N16" s="36">
        <v>0.09</v>
      </c>
      <c r="O16" s="36">
        <v>0.18</v>
      </c>
      <c r="P16" s="165">
        <v>0.11</v>
      </c>
      <c r="Q16" s="36">
        <v>0.3</v>
      </c>
      <c r="R16" s="36">
        <v>1.25</v>
      </c>
      <c r="S16" s="36">
        <v>7.0000000000000007E-2</v>
      </c>
      <c r="T16" s="31">
        <f t="shared" si="0"/>
        <v>0.28999999999999998</v>
      </c>
      <c r="U16" s="36">
        <v>0.18</v>
      </c>
      <c r="V16" s="169">
        <v>0.03</v>
      </c>
      <c r="W16" s="169">
        <v>0.1</v>
      </c>
      <c r="X16" s="36">
        <v>0.18</v>
      </c>
      <c r="Y16" s="165">
        <v>0.11</v>
      </c>
      <c r="Z16" s="36">
        <v>0.3</v>
      </c>
      <c r="AA16" s="36">
        <v>1.28</v>
      </c>
      <c r="AB16" s="36">
        <v>7.0000000000000007E-2</v>
      </c>
      <c r="AC16" s="31">
        <f t="shared" si="3"/>
        <v>0.28000000000000003</v>
      </c>
      <c r="AD16" s="166">
        <f t="shared" si="1"/>
        <v>0.3</v>
      </c>
    </row>
    <row r="17" spans="1:30" ht="30" hidden="1" x14ac:dyDescent="0.25">
      <c r="A17" s="9">
        <v>12</v>
      </c>
      <c r="B17" s="107" t="s">
        <v>184</v>
      </c>
      <c r="C17" s="36"/>
      <c r="D17" s="36"/>
      <c r="E17" s="36"/>
      <c r="F17" s="36">
        <v>0</v>
      </c>
      <c r="G17" s="165"/>
      <c r="H17" s="165"/>
      <c r="I17" s="165"/>
      <c r="J17" s="36"/>
      <c r="K17" s="31">
        <v>0</v>
      </c>
      <c r="L17" s="36"/>
      <c r="M17" s="36"/>
      <c r="N17" s="36"/>
      <c r="O17" s="36">
        <v>0</v>
      </c>
      <c r="P17" s="165"/>
      <c r="Q17" s="36"/>
      <c r="R17" s="36"/>
      <c r="S17" s="36"/>
      <c r="T17" s="31">
        <f t="shared" si="0"/>
        <v>0</v>
      </c>
      <c r="U17" s="36"/>
      <c r="V17" s="36"/>
      <c r="W17" s="36"/>
      <c r="X17" s="36">
        <v>0</v>
      </c>
      <c r="Y17" s="165"/>
      <c r="Z17" s="36"/>
      <c r="AA17" s="36"/>
      <c r="AB17" s="36"/>
      <c r="AC17" s="31">
        <v>0</v>
      </c>
      <c r="AD17" s="166">
        <f t="shared" si="1"/>
        <v>0</v>
      </c>
    </row>
    <row r="18" spans="1:30" ht="45" x14ac:dyDescent="0.25">
      <c r="A18" s="9">
        <v>12</v>
      </c>
      <c r="B18" s="107" t="s">
        <v>185</v>
      </c>
      <c r="C18" s="36">
        <v>0.11</v>
      </c>
      <c r="D18" s="36">
        <v>0.52</v>
      </c>
      <c r="E18" s="36"/>
      <c r="F18" s="36">
        <v>0.11</v>
      </c>
      <c r="G18" s="165">
        <v>1.52</v>
      </c>
      <c r="H18" s="165"/>
      <c r="I18" s="165"/>
      <c r="J18" s="36">
        <v>0.15</v>
      </c>
      <c r="K18" s="31">
        <f t="shared" si="2"/>
        <v>0.48</v>
      </c>
      <c r="L18" s="36">
        <v>0.11</v>
      </c>
      <c r="M18" s="36">
        <v>0.41</v>
      </c>
      <c r="N18" s="36">
        <v>2.1</v>
      </c>
      <c r="O18" s="36">
        <v>0.11</v>
      </c>
      <c r="P18" s="165">
        <v>1.52</v>
      </c>
      <c r="Q18" s="36">
        <v>0.4</v>
      </c>
      <c r="R18" s="36"/>
      <c r="S18" s="36">
        <v>0.15</v>
      </c>
      <c r="T18" s="31">
        <f t="shared" si="0"/>
        <v>0.69</v>
      </c>
      <c r="U18" s="36">
        <v>0.11</v>
      </c>
      <c r="V18" s="169">
        <v>0.25</v>
      </c>
      <c r="W18" s="170">
        <v>0.98</v>
      </c>
      <c r="X18" s="36">
        <v>0.11</v>
      </c>
      <c r="Y18" s="165">
        <v>1.52</v>
      </c>
      <c r="Z18" s="36">
        <v>0.4</v>
      </c>
      <c r="AA18" s="36"/>
      <c r="AB18" s="36">
        <v>0.15</v>
      </c>
      <c r="AC18" s="31">
        <f t="shared" si="3"/>
        <v>0.5</v>
      </c>
      <c r="AD18" s="166">
        <f t="shared" si="1"/>
        <v>0.56000000000000005</v>
      </c>
    </row>
    <row r="19" spans="1:30" x14ac:dyDescent="0.25">
      <c r="A19" s="9"/>
      <c r="B19" s="107" t="s">
        <v>121</v>
      </c>
      <c r="C19" s="36">
        <f>SUM(C6:C18)</f>
        <v>15.199999999999998</v>
      </c>
      <c r="D19" s="36">
        <f t="shared" ref="D19:J19" si="4">SUM(D6:D18)</f>
        <v>15.199999999999996</v>
      </c>
      <c r="E19" s="36">
        <f t="shared" si="4"/>
        <v>0</v>
      </c>
      <c r="F19" s="36">
        <f t="shared" si="4"/>
        <v>10.149999999999999</v>
      </c>
      <c r="G19" s="36">
        <f t="shared" si="4"/>
        <v>16.899999999999999</v>
      </c>
      <c r="H19" s="36">
        <f t="shared" si="4"/>
        <v>0</v>
      </c>
      <c r="I19" s="36">
        <f t="shared" si="4"/>
        <v>7.1099999999999994</v>
      </c>
      <c r="J19" s="36">
        <f t="shared" si="4"/>
        <v>19.48</v>
      </c>
      <c r="K19" s="171">
        <v>7.59</v>
      </c>
      <c r="L19" s="36">
        <f>SUM(L6:L18)</f>
        <v>15.2</v>
      </c>
      <c r="M19" s="36">
        <f t="shared" ref="M19:S19" si="5">SUM(M6:M18)</f>
        <v>15.2</v>
      </c>
      <c r="N19" s="36">
        <f t="shared" si="5"/>
        <v>15.180000000000001</v>
      </c>
      <c r="O19" s="36">
        <f t="shared" si="5"/>
        <v>10.149999999999999</v>
      </c>
      <c r="P19" s="36">
        <f t="shared" si="5"/>
        <v>16.899999999999999</v>
      </c>
      <c r="Q19" s="36">
        <f t="shared" si="5"/>
        <v>9.0000000000000018</v>
      </c>
      <c r="R19" s="36">
        <f t="shared" si="5"/>
        <v>7.91</v>
      </c>
      <c r="S19" s="36">
        <f t="shared" si="5"/>
        <v>19.48</v>
      </c>
      <c r="T19" s="171">
        <v>7.91</v>
      </c>
      <c r="U19" s="36">
        <f>SUM(U6:U18)</f>
        <v>15.200000000000001</v>
      </c>
      <c r="V19" s="36">
        <f t="shared" ref="V19:AB19" si="6">SUM(V6:V18)</f>
        <v>15.200000000000001</v>
      </c>
      <c r="W19" s="36">
        <f t="shared" si="6"/>
        <v>15.18</v>
      </c>
      <c r="X19" s="36">
        <f t="shared" si="6"/>
        <v>10.149999999999999</v>
      </c>
      <c r="Y19" s="36">
        <f t="shared" si="6"/>
        <v>16.899999999999999</v>
      </c>
      <c r="Z19" s="36">
        <f t="shared" si="6"/>
        <v>9.0000000000000018</v>
      </c>
      <c r="AA19" s="36">
        <f t="shared" si="6"/>
        <v>8.35</v>
      </c>
      <c r="AB19" s="36">
        <f t="shared" si="6"/>
        <v>19.48</v>
      </c>
      <c r="AC19" s="171">
        <v>9.36</v>
      </c>
      <c r="AD19" s="136">
        <v>8.2899999999999991</v>
      </c>
    </row>
    <row r="20" spans="1:30" ht="15.75" thickBot="1" x14ac:dyDescent="0.3">
      <c r="A20" s="131"/>
      <c r="B20" s="132"/>
      <c r="C20" s="172"/>
      <c r="D20" s="172"/>
      <c r="E20" s="172"/>
      <c r="F20" s="172"/>
      <c r="G20" s="172"/>
      <c r="H20" s="172"/>
      <c r="I20" s="172"/>
      <c r="J20" s="172"/>
      <c r="K20" s="173"/>
      <c r="L20" s="172"/>
      <c r="M20" s="172"/>
      <c r="N20" s="172"/>
      <c r="O20" s="172"/>
      <c r="P20" s="172"/>
      <c r="Q20" s="172"/>
      <c r="R20" s="172"/>
      <c r="S20" s="172"/>
      <c r="T20" s="173"/>
      <c r="U20" s="172"/>
      <c r="V20" s="172"/>
      <c r="W20" s="172"/>
      <c r="X20" s="172"/>
      <c r="Y20" s="172"/>
      <c r="Z20" s="172"/>
      <c r="AA20" s="172"/>
      <c r="AB20" s="172"/>
      <c r="AC20" s="173"/>
      <c r="AD20" s="130"/>
    </row>
    <row r="21" spans="1:30" ht="48.75" customHeight="1" x14ac:dyDescent="0.25">
      <c r="A21" s="9"/>
      <c r="B21" s="107" t="s">
        <v>130</v>
      </c>
      <c r="C21" s="36">
        <f>C7+C8+C9+C10+C11+C12+C13+C15+C16+C18</f>
        <v>4.3899999999999997</v>
      </c>
      <c r="D21" s="36">
        <f t="shared" ref="D21:AD21" si="7">D7+D8+D9+D10+D11+D12+D13+D15+D16+D18</f>
        <v>5.2000000000000011</v>
      </c>
      <c r="E21" s="36">
        <f t="shared" si="7"/>
        <v>0</v>
      </c>
      <c r="F21" s="36">
        <f t="shared" si="7"/>
        <v>4.07</v>
      </c>
      <c r="G21" s="36">
        <f t="shared" si="7"/>
        <v>7.0299999999999994</v>
      </c>
      <c r="H21" s="36">
        <f t="shared" si="7"/>
        <v>0</v>
      </c>
      <c r="I21" s="36">
        <f t="shared" si="7"/>
        <v>2.73</v>
      </c>
      <c r="J21" s="165">
        <f t="shared" si="7"/>
        <v>7.1700000000000017</v>
      </c>
      <c r="K21" s="174">
        <f t="shared" si="7"/>
        <v>5.59</v>
      </c>
      <c r="L21" s="87">
        <f t="shared" si="7"/>
        <v>4.26</v>
      </c>
      <c r="M21" s="36">
        <f t="shared" si="7"/>
        <v>4.55</v>
      </c>
      <c r="N21" s="36">
        <f t="shared" si="7"/>
        <v>5.62</v>
      </c>
      <c r="O21" s="36">
        <f t="shared" si="7"/>
        <v>4.07</v>
      </c>
      <c r="P21" s="36">
        <f t="shared" si="7"/>
        <v>7.0299999999999994</v>
      </c>
      <c r="Q21" s="36">
        <f t="shared" si="7"/>
        <v>9.0000000000000018</v>
      </c>
      <c r="R21" s="36">
        <f t="shared" si="7"/>
        <v>3.01</v>
      </c>
      <c r="S21" s="165">
        <f t="shared" si="7"/>
        <v>7.1700000000000017</v>
      </c>
      <c r="T21" s="174">
        <f t="shared" si="7"/>
        <v>6.2100000000000009</v>
      </c>
      <c r="U21" s="87">
        <f t="shared" si="7"/>
        <v>4.38</v>
      </c>
      <c r="V21" s="36">
        <f t="shared" si="7"/>
        <v>4.2699999999999996</v>
      </c>
      <c r="W21" s="36">
        <f t="shared" si="7"/>
        <v>4.84</v>
      </c>
      <c r="X21" s="36">
        <f t="shared" si="7"/>
        <v>4.07</v>
      </c>
      <c r="Y21" s="36">
        <f t="shared" si="7"/>
        <v>7.0299999999999994</v>
      </c>
      <c r="Z21" s="36">
        <f t="shared" si="7"/>
        <v>9.0000000000000018</v>
      </c>
      <c r="AA21" s="36">
        <f t="shared" si="7"/>
        <v>3.1500000000000004</v>
      </c>
      <c r="AB21" s="165">
        <f t="shared" si="7"/>
        <v>7.1700000000000017</v>
      </c>
      <c r="AC21" s="174">
        <f t="shared" si="7"/>
        <v>6.0900000000000007</v>
      </c>
      <c r="AD21" s="175">
        <f t="shared" si="7"/>
        <v>5.98</v>
      </c>
    </row>
    <row r="22" spans="1:30" ht="34.5" customHeight="1" x14ac:dyDescent="0.25">
      <c r="A22" s="9"/>
      <c r="B22" s="107" t="s">
        <v>186</v>
      </c>
      <c r="C22" s="36"/>
      <c r="D22" s="36"/>
      <c r="E22" s="36"/>
      <c r="F22" s="36"/>
      <c r="G22" s="36"/>
      <c r="H22" s="36"/>
      <c r="I22" s="36"/>
      <c r="J22" s="165"/>
      <c r="K22" s="31">
        <v>1.36</v>
      </c>
      <c r="L22" s="87"/>
      <c r="M22" s="36"/>
      <c r="N22" s="36"/>
      <c r="O22" s="36"/>
      <c r="P22" s="36"/>
      <c r="Q22" s="36"/>
      <c r="R22" s="36"/>
      <c r="S22" s="165"/>
      <c r="T22" s="31">
        <v>1.36</v>
      </c>
      <c r="U22" s="87"/>
      <c r="V22" s="36"/>
      <c r="W22" s="36"/>
      <c r="X22" s="36"/>
      <c r="Y22" s="36"/>
      <c r="Z22" s="36"/>
      <c r="AA22" s="36"/>
      <c r="AB22" s="165"/>
      <c r="AC22" s="31">
        <v>1.36</v>
      </c>
      <c r="AD22" s="176">
        <v>1.36</v>
      </c>
    </row>
    <row r="23" spans="1:30" ht="45" x14ac:dyDescent="0.25">
      <c r="A23" s="9"/>
      <c r="B23" s="107" t="s">
        <v>123</v>
      </c>
      <c r="C23" s="36"/>
      <c r="D23" s="36"/>
      <c r="E23" s="36"/>
      <c r="F23" s="36"/>
      <c r="G23" s="36"/>
      <c r="H23" s="36"/>
      <c r="I23" s="36"/>
      <c r="J23" s="165"/>
      <c r="K23" s="31">
        <v>0.15</v>
      </c>
      <c r="L23" s="87"/>
      <c r="M23" s="36"/>
      <c r="N23" s="36"/>
      <c r="O23" s="36"/>
      <c r="P23" s="36"/>
      <c r="Q23" s="36"/>
      <c r="R23" s="36"/>
      <c r="S23" s="165"/>
      <c r="T23" s="31">
        <v>0.15</v>
      </c>
      <c r="U23" s="87"/>
      <c r="V23" s="36"/>
      <c r="W23" s="36"/>
      <c r="X23" s="36"/>
      <c r="Y23" s="36"/>
      <c r="Z23" s="36"/>
      <c r="AA23" s="36"/>
      <c r="AB23" s="165"/>
      <c r="AC23" s="31">
        <v>0.15</v>
      </c>
      <c r="AD23" s="176">
        <v>0.15</v>
      </c>
    </row>
    <row r="24" spans="1:30" x14ac:dyDescent="0.25">
      <c r="A24" s="9"/>
      <c r="B24" s="107" t="s">
        <v>124</v>
      </c>
      <c r="C24" s="36"/>
      <c r="D24" s="36"/>
      <c r="E24" s="36"/>
      <c r="F24" s="36"/>
      <c r="G24" s="36"/>
      <c r="H24" s="36"/>
      <c r="I24" s="36"/>
      <c r="J24" s="165"/>
      <c r="K24" s="31">
        <v>0.31</v>
      </c>
      <c r="L24" s="87"/>
      <c r="M24" s="36"/>
      <c r="N24" s="36"/>
      <c r="O24" s="36"/>
      <c r="P24" s="36"/>
      <c r="Q24" s="36"/>
      <c r="R24" s="36"/>
      <c r="S24" s="165"/>
      <c r="T24" s="31">
        <v>0.31</v>
      </c>
      <c r="U24" s="87"/>
      <c r="V24" s="36"/>
      <c r="W24" s="36"/>
      <c r="X24" s="36"/>
      <c r="Y24" s="36"/>
      <c r="Z24" s="36"/>
      <c r="AA24" s="36"/>
      <c r="AB24" s="165"/>
      <c r="AC24" s="31">
        <v>0.31</v>
      </c>
      <c r="AD24" s="176">
        <v>0.31</v>
      </c>
    </row>
    <row r="25" spans="1:30" ht="100.5" thickBot="1" x14ac:dyDescent="0.3">
      <c r="A25" s="9"/>
      <c r="B25" s="50" t="s">
        <v>101</v>
      </c>
      <c r="C25" s="177">
        <f>SUM(C21:C24)</f>
        <v>4.3899999999999997</v>
      </c>
      <c r="D25" s="177">
        <f t="shared" ref="D25:AD25" si="8">SUM(D21:D24)</f>
        <v>5.2000000000000011</v>
      </c>
      <c r="E25" s="177">
        <f t="shared" si="8"/>
        <v>0</v>
      </c>
      <c r="F25" s="177">
        <f t="shared" si="8"/>
        <v>4.07</v>
      </c>
      <c r="G25" s="177">
        <f t="shared" si="8"/>
        <v>7.0299999999999994</v>
      </c>
      <c r="H25" s="177">
        <f t="shared" si="8"/>
        <v>0</v>
      </c>
      <c r="I25" s="177">
        <f t="shared" si="8"/>
        <v>2.73</v>
      </c>
      <c r="J25" s="178">
        <f t="shared" si="8"/>
        <v>7.1700000000000017</v>
      </c>
      <c r="K25" s="179">
        <f t="shared" si="8"/>
        <v>7.41</v>
      </c>
      <c r="L25" s="180">
        <f t="shared" si="8"/>
        <v>4.26</v>
      </c>
      <c r="M25" s="177">
        <f t="shared" si="8"/>
        <v>4.55</v>
      </c>
      <c r="N25" s="177">
        <f t="shared" si="8"/>
        <v>5.62</v>
      </c>
      <c r="O25" s="177">
        <f t="shared" si="8"/>
        <v>4.07</v>
      </c>
      <c r="P25" s="177">
        <f t="shared" si="8"/>
        <v>7.0299999999999994</v>
      </c>
      <c r="Q25" s="177">
        <f t="shared" si="8"/>
        <v>9.0000000000000018</v>
      </c>
      <c r="R25" s="177">
        <f t="shared" si="8"/>
        <v>3.01</v>
      </c>
      <c r="S25" s="178">
        <f t="shared" si="8"/>
        <v>7.1700000000000017</v>
      </c>
      <c r="T25" s="179">
        <f t="shared" si="8"/>
        <v>8.0300000000000011</v>
      </c>
      <c r="U25" s="180">
        <f t="shared" si="8"/>
        <v>4.38</v>
      </c>
      <c r="V25" s="177">
        <f t="shared" si="8"/>
        <v>4.2699999999999996</v>
      </c>
      <c r="W25" s="177">
        <f t="shared" si="8"/>
        <v>4.84</v>
      </c>
      <c r="X25" s="177">
        <f t="shared" si="8"/>
        <v>4.07</v>
      </c>
      <c r="Y25" s="177">
        <f t="shared" si="8"/>
        <v>7.0299999999999994</v>
      </c>
      <c r="Z25" s="177">
        <f t="shared" si="8"/>
        <v>9.0000000000000018</v>
      </c>
      <c r="AA25" s="177">
        <f t="shared" si="8"/>
        <v>3.1500000000000004</v>
      </c>
      <c r="AB25" s="178">
        <f t="shared" si="8"/>
        <v>7.1700000000000017</v>
      </c>
      <c r="AC25" s="179">
        <f t="shared" si="8"/>
        <v>7.910000000000001</v>
      </c>
      <c r="AD25" s="181">
        <f t="shared" si="8"/>
        <v>7.8000000000000007</v>
      </c>
    </row>
    <row r="26" spans="1:30" x14ac:dyDescent="0.25">
      <c r="F26" s="182"/>
      <c r="G26" s="182"/>
      <c r="H26" s="182"/>
      <c r="I26" s="182"/>
      <c r="K26" s="3"/>
      <c r="T26" s="3"/>
      <c r="AC26" s="3"/>
      <c r="AD26" s="3"/>
    </row>
    <row r="27" spans="1:30" ht="23.25" customHeight="1" x14ac:dyDescent="0.25">
      <c r="A27" s="435" t="s">
        <v>187</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row>
    <row r="28" spans="1:30" ht="31.5" customHeight="1" x14ac:dyDescent="0.25">
      <c r="A28" s="407" t="s">
        <v>188</v>
      </c>
      <c r="B28" s="407"/>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row>
    <row r="29" spans="1:30" ht="24" customHeight="1" x14ac:dyDescent="0.25">
      <c r="A29" s="407" t="s">
        <v>189</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row>
  </sheetData>
  <mergeCells count="11">
    <mergeCell ref="A27:AD27"/>
    <mergeCell ref="A28:AD28"/>
    <mergeCell ref="A29:AD29"/>
    <mergeCell ref="A2:AD2"/>
    <mergeCell ref="A3:AD3"/>
    <mergeCell ref="A4:A5"/>
    <mergeCell ref="B4:B5"/>
    <mergeCell ref="C4:K4"/>
    <mergeCell ref="L4:T4"/>
    <mergeCell ref="U4:AC4"/>
    <mergeCell ref="AD4:AD5"/>
  </mergeCells>
  <hyperlinks>
    <hyperlink ref="B1" location="SATURS!A1" display="ATPAKAĻ uz SATURU" xr:uid="{25281205-4A7B-4A04-8145-E3903D99F4E6}"/>
  </hyperlinks>
  <pageMargins left="0.70866141732283472" right="0.70866141732283472" top="0.74803149606299213" bottom="0.74803149606299213" header="0.31496062992125984" footer="0.31496062992125984"/>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72EB-1A97-4427-B443-21E14E9FBC27}">
  <sheetPr>
    <pageSetUpPr fitToPage="1"/>
  </sheetPr>
  <dimension ref="A1:F13"/>
  <sheetViews>
    <sheetView zoomScale="86" zoomScaleNormal="86" workbookViewId="0"/>
  </sheetViews>
  <sheetFormatPr defaultColWidth="9.140625" defaultRowHeight="15" x14ac:dyDescent="0.25"/>
  <cols>
    <col min="1" max="1" width="33.85546875" style="5" customWidth="1"/>
    <col min="2" max="2" width="14.42578125" style="5" customWidth="1"/>
    <col min="3" max="3" width="12.28515625" style="5" customWidth="1"/>
    <col min="4" max="4" width="14.7109375" style="5" customWidth="1"/>
    <col min="5" max="5" width="14.42578125" style="5" customWidth="1"/>
    <col min="6" max="6" width="19.28515625" style="5" customWidth="1"/>
    <col min="7" max="16384" width="9.140625" style="5"/>
  </cols>
  <sheetData>
    <row r="1" spans="1:6" ht="15.75" thickBot="1" x14ac:dyDescent="0.3">
      <c r="A1" s="344" t="s">
        <v>324</v>
      </c>
    </row>
    <row r="2" spans="1:6" x14ac:dyDescent="0.25">
      <c r="A2" s="445" t="s">
        <v>190</v>
      </c>
      <c r="B2" s="445"/>
      <c r="C2" s="445"/>
      <c r="D2" s="445"/>
      <c r="E2" s="445"/>
      <c r="F2" s="445"/>
    </row>
    <row r="3" spans="1:6" x14ac:dyDescent="0.25">
      <c r="A3" s="446" t="s">
        <v>191</v>
      </c>
      <c r="B3" s="446"/>
      <c r="C3" s="446"/>
      <c r="D3" s="446"/>
      <c r="E3" s="446"/>
      <c r="F3" s="446"/>
    </row>
    <row r="4" spans="1:6" ht="75" x14ac:dyDescent="0.25">
      <c r="A4" s="71" t="s">
        <v>138</v>
      </c>
      <c r="B4" s="69" t="s">
        <v>192</v>
      </c>
      <c r="C4" s="69" t="s">
        <v>5</v>
      </c>
      <c r="D4" s="69" t="s">
        <v>140</v>
      </c>
      <c r="E4" s="69" t="s">
        <v>193</v>
      </c>
      <c r="F4" s="69" t="s">
        <v>142</v>
      </c>
    </row>
    <row r="5" spans="1:6" ht="15" customHeight="1" x14ac:dyDescent="0.25">
      <c r="A5" s="183">
        <v>1</v>
      </c>
      <c r="B5" s="183">
        <v>2</v>
      </c>
      <c r="C5" s="183">
        <v>3</v>
      </c>
      <c r="D5" s="184" t="s">
        <v>28</v>
      </c>
      <c r="E5" s="183" t="s">
        <v>29</v>
      </c>
      <c r="F5" s="184" t="s">
        <v>194</v>
      </c>
    </row>
    <row r="6" spans="1:6" x14ac:dyDescent="0.25">
      <c r="A6" s="447" t="s">
        <v>195</v>
      </c>
      <c r="B6" s="448"/>
      <c r="C6" s="448"/>
      <c r="D6" s="448"/>
      <c r="E6" s="448"/>
      <c r="F6" s="449"/>
    </row>
    <row r="7" spans="1:6" ht="14.25" customHeight="1" x14ac:dyDescent="0.25">
      <c r="A7" s="78" t="s">
        <v>196</v>
      </c>
      <c r="B7" s="185">
        <v>16</v>
      </c>
      <c r="C7" s="9">
        <f>'7.3.1. pielikums'!B7+'7.3.1. pielikums'!B8</f>
        <v>1.5</v>
      </c>
      <c r="D7" s="48">
        <f>ROUND(C7*213.43,2)</f>
        <v>320.14999999999998</v>
      </c>
      <c r="E7" s="51">
        <f>ROUND(D7/B7,2)</f>
        <v>20.010000000000002</v>
      </c>
      <c r="F7" s="51">
        <f>ROUND(E7/252,2)</f>
        <v>0.08</v>
      </c>
    </row>
    <row r="8" spans="1:6" x14ac:dyDescent="0.25">
      <c r="A8" s="78" t="s">
        <v>145</v>
      </c>
      <c r="B8" s="185">
        <v>16</v>
      </c>
      <c r="C8" s="9">
        <f>'7.3.1. pielikums'!B9</f>
        <v>0.5</v>
      </c>
      <c r="D8" s="48">
        <f>ROUND(C8*213.43,2)</f>
        <v>106.72</v>
      </c>
      <c r="E8" s="51">
        <f>ROUND(D8/B8,2)</f>
        <v>6.67</v>
      </c>
      <c r="F8" s="51">
        <f>ROUND(E8/252,2)</f>
        <v>0.03</v>
      </c>
    </row>
    <row r="9" spans="1:6" x14ac:dyDescent="0.25">
      <c r="A9" s="11" t="s">
        <v>197</v>
      </c>
      <c r="B9" s="185">
        <v>16</v>
      </c>
      <c r="C9" s="9">
        <f>'7.3.1. pielikums'!B10</f>
        <v>0.5</v>
      </c>
      <c r="D9" s="48">
        <f>ROUND(C9*213.43,2)</f>
        <v>106.72</v>
      </c>
      <c r="E9" s="51">
        <f>ROUND(D9/B9,2)</f>
        <v>6.67</v>
      </c>
      <c r="F9" s="51">
        <f>ROUND(E9/252,2)</f>
        <v>0.03</v>
      </c>
    </row>
    <row r="10" spans="1:6" x14ac:dyDescent="0.25">
      <c r="A10" s="11" t="s">
        <v>147</v>
      </c>
      <c r="B10" s="185">
        <v>16</v>
      </c>
      <c r="C10" s="9">
        <f>'7.3.1. pielikums'!B11</f>
        <v>0.2</v>
      </c>
      <c r="D10" s="48">
        <f>ROUND(C10*213.43,2)</f>
        <v>42.69</v>
      </c>
      <c r="E10" s="51">
        <f>ROUND(D10/B10,2)</f>
        <v>2.67</v>
      </c>
      <c r="F10" s="51">
        <f>ROUND(E10/252,2)</f>
        <v>0.01</v>
      </c>
    </row>
    <row r="11" spans="1:6" x14ac:dyDescent="0.25">
      <c r="A11" s="147" t="s">
        <v>57</v>
      </c>
      <c r="B11" s="186">
        <f>AVERAGE(B7:B10)</f>
        <v>16</v>
      </c>
      <c r="C11" s="187">
        <f>SUM(C7:C10)</f>
        <v>2.7</v>
      </c>
      <c r="D11" s="171">
        <f>ROUND(SUM(D7:D10),2)</f>
        <v>576.28</v>
      </c>
      <c r="E11" s="171">
        <f>ROUND(SUM(E7:E10),2)</f>
        <v>36.020000000000003</v>
      </c>
      <c r="F11" s="171">
        <f>ROUND(SUM(F7:F10),2)</f>
        <v>0.15</v>
      </c>
    </row>
    <row r="12" spans="1:6" x14ac:dyDescent="0.25">
      <c r="A12" s="121"/>
      <c r="B12" s="121"/>
      <c r="C12" s="121"/>
      <c r="D12" s="121"/>
      <c r="E12" s="121"/>
      <c r="F12" s="121"/>
    </row>
    <row r="13" spans="1:6" ht="120" customHeight="1" x14ac:dyDescent="0.25">
      <c r="A13" s="407" t="s">
        <v>198</v>
      </c>
      <c r="B13" s="407"/>
      <c r="C13" s="407"/>
      <c r="D13" s="407"/>
      <c r="E13" s="407"/>
      <c r="F13" s="407"/>
    </row>
  </sheetData>
  <mergeCells count="4">
    <mergeCell ref="A2:F2"/>
    <mergeCell ref="A3:F3"/>
    <mergeCell ref="A6:F6"/>
    <mergeCell ref="A13:F13"/>
  </mergeCells>
  <hyperlinks>
    <hyperlink ref="A1" location="SATURS!A1" display="ATPAKAĻ uz SATURU" xr:uid="{797643F1-E944-4B3E-AA99-20A7612542C0}"/>
  </hyperlink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99E5-3FFD-4FD0-AB9D-9E9A6F9660CD}">
  <sheetPr>
    <pageSetUpPr fitToPage="1"/>
  </sheetPr>
  <dimension ref="A1:E20"/>
  <sheetViews>
    <sheetView zoomScale="87" zoomScaleNormal="87" workbookViewId="0">
      <selection activeCell="B1" sqref="B1"/>
    </sheetView>
  </sheetViews>
  <sheetFormatPr defaultColWidth="9.140625" defaultRowHeight="15" x14ac:dyDescent="0.25"/>
  <cols>
    <col min="1" max="1" width="4.140625" style="1" customWidth="1"/>
    <col min="2" max="2" width="35.28515625" style="1" customWidth="1"/>
    <col min="3" max="3" width="19.28515625" style="1" customWidth="1"/>
    <col min="4" max="4" width="18.42578125" style="1" customWidth="1"/>
    <col min="5" max="16384" width="9.140625" style="1"/>
  </cols>
  <sheetData>
    <row r="1" spans="1:5" ht="15.75" thickBot="1" x14ac:dyDescent="0.3">
      <c r="B1" s="344" t="s">
        <v>324</v>
      </c>
    </row>
    <row r="2" spans="1:5" x14ac:dyDescent="0.25">
      <c r="A2" s="454" t="s">
        <v>199</v>
      </c>
      <c r="B2" s="454"/>
      <c r="C2" s="454"/>
      <c r="D2" s="188"/>
      <c r="E2" s="188"/>
    </row>
    <row r="3" spans="1:5" x14ac:dyDescent="0.25">
      <c r="A3" s="455" t="s">
        <v>200</v>
      </c>
      <c r="B3" s="455"/>
      <c r="C3" s="455"/>
    </row>
    <row r="4" spans="1:5" ht="45" x14ac:dyDescent="0.25">
      <c r="A4" s="189" t="s">
        <v>32</v>
      </c>
      <c r="B4" s="189" t="s">
        <v>201</v>
      </c>
      <c r="C4" s="189" t="s">
        <v>202</v>
      </c>
    </row>
    <row r="5" spans="1:5" x14ac:dyDescent="0.25">
      <c r="A5" s="190">
        <v>1</v>
      </c>
      <c r="B5" s="191" t="s">
        <v>203</v>
      </c>
      <c r="C5" s="192">
        <v>67864.570000000007</v>
      </c>
    </row>
    <row r="6" spans="1:5" ht="21" customHeight="1" x14ac:dyDescent="0.25">
      <c r="A6" s="190">
        <v>2</v>
      </c>
      <c r="B6" s="191" t="s">
        <v>204</v>
      </c>
      <c r="C6" s="192">
        <v>41364.769999999997</v>
      </c>
    </row>
    <row r="7" spans="1:5" x14ac:dyDescent="0.25">
      <c r="A7" s="190">
        <v>3</v>
      </c>
      <c r="B7" s="191" t="s">
        <v>205</v>
      </c>
      <c r="C7" s="192">
        <v>55500</v>
      </c>
    </row>
    <row r="8" spans="1:5" x14ac:dyDescent="0.25">
      <c r="A8" s="456" t="s">
        <v>206</v>
      </c>
      <c r="B8" s="457"/>
      <c r="C8" s="192">
        <f>SUM(C5:C7)</f>
        <v>164729.34</v>
      </c>
    </row>
    <row r="9" spans="1:5" x14ac:dyDescent="0.25">
      <c r="A9" s="450" t="s">
        <v>207</v>
      </c>
      <c r="B9" s="451"/>
      <c r="C9" s="192">
        <f>C8/3</f>
        <v>54909.78</v>
      </c>
    </row>
    <row r="10" spans="1:5" x14ac:dyDescent="0.25">
      <c r="A10" s="450" t="s">
        <v>208</v>
      </c>
      <c r="B10" s="451"/>
      <c r="C10" s="193">
        <v>120</v>
      </c>
    </row>
    <row r="11" spans="1:5" x14ac:dyDescent="0.25">
      <c r="A11" s="450" t="s">
        <v>209</v>
      </c>
      <c r="B11" s="451"/>
      <c r="C11" s="192">
        <f>C9/C10</f>
        <v>457.58150000000001</v>
      </c>
    </row>
    <row r="12" spans="1:5" x14ac:dyDescent="0.25">
      <c r="A12" s="450" t="s">
        <v>210</v>
      </c>
      <c r="B12" s="451"/>
      <c r="C12" s="192">
        <f>C11/16</f>
        <v>28.59884375</v>
      </c>
    </row>
    <row r="13" spans="1:5" x14ac:dyDescent="0.25">
      <c r="A13" s="452" t="s">
        <v>211</v>
      </c>
      <c r="B13" s="453"/>
      <c r="C13" s="136">
        <f>C12/21</f>
        <v>1.3618497023809524</v>
      </c>
    </row>
    <row r="14" spans="1:5" x14ac:dyDescent="0.25">
      <c r="B14" s="194"/>
      <c r="C14" s="3"/>
    </row>
    <row r="15" spans="1:5" x14ac:dyDescent="0.25">
      <c r="B15" s="194"/>
      <c r="C15" s="3"/>
    </row>
    <row r="16" spans="1:5" x14ac:dyDescent="0.25">
      <c r="B16" s="194"/>
      <c r="C16" s="3"/>
    </row>
    <row r="17" spans="2:3" x14ac:dyDescent="0.25">
      <c r="B17" s="194"/>
      <c r="C17" s="3"/>
    </row>
    <row r="18" spans="2:3" x14ac:dyDescent="0.25">
      <c r="B18" s="194"/>
      <c r="C18" s="3"/>
    </row>
    <row r="19" spans="2:3" x14ac:dyDescent="0.25">
      <c r="C19" s="3"/>
    </row>
    <row r="20" spans="2:3" x14ac:dyDescent="0.25">
      <c r="C20" s="3"/>
    </row>
  </sheetData>
  <mergeCells count="8">
    <mergeCell ref="A12:B12"/>
    <mergeCell ref="A13:B13"/>
    <mergeCell ref="A2:C2"/>
    <mergeCell ref="A3:C3"/>
    <mergeCell ref="A8:B8"/>
    <mergeCell ref="A9:B9"/>
    <mergeCell ref="A10:B10"/>
    <mergeCell ref="A11:B11"/>
  </mergeCells>
  <hyperlinks>
    <hyperlink ref="B1" location="SATURS!A1" display="ATPAKAĻ uz SATURU" xr:uid="{ABEDFAD2-9FB7-45C9-8BFE-839E97B6ACF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069E-0D2F-4C3C-AACA-F3C8328F5C14}">
  <sheetPr>
    <pageSetUpPr fitToPage="1"/>
  </sheetPr>
  <dimension ref="A1:G13"/>
  <sheetViews>
    <sheetView zoomScale="87" zoomScaleNormal="87" workbookViewId="0"/>
  </sheetViews>
  <sheetFormatPr defaultColWidth="9.140625" defaultRowHeight="12.75" x14ac:dyDescent="0.2"/>
  <cols>
    <col min="1" max="1" width="32.7109375" style="195" customWidth="1"/>
    <col min="2" max="2" width="17.7109375" style="195" customWidth="1"/>
    <col min="3" max="3" width="7.7109375" style="195" customWidth="1"/>
    <col min="4" max="4" width="19.7109375" style="195" customWidth="1"/>
    <col min="5" max="5" width="21.7109375" style="195" customWidth="1"/>
    <col min="6" max="6" width="11.7109375" style="195" customWidth="1"/>
    <col min="7" max="7" width="22.7109375" style="195" customWidth="1"/>
    <col min="8" max="16384" width="9.140625" style="195"/>
  </cols>
  <sheetData>
    <row r="1" spans="1:7" ht="13.5" thickBot="1" x14ac:dyDescent="0.25">
      <c r="A1" s="344" t="s">
        <v>324</v>
      </c>
    </row>
    <row r="2" spans="1:7" ht="15" x14ac:dyDescent="0.25">
      <c r="A2" s="405" t="s">
        <v>212</v>
      </c>
      <c r="B2" s="405"/>
      <c r="C2" s="405"/>
      <c r="D2" s="405"/>
      <c r="E2" s="405"/>
      <c r="F2" s="405"/>
      <c r="G2" s="405"/>
    </row>
    <row r="3" spans="1:7" ht="14.25" x14ac:dyDescent="0.2">
      <c r="A3" s="406" t="s">
        <v>213</v>
      </c>
      <c r="B3" s="406"/>
      <c r="C3" s="406"/>
      <c r="D3" s="406"/>
      <c r="E3" s="406"/>
      <c r="F3" s="406"/>
      <c r="G3" s="406"/>
    </row>
    <row r="4" spans="1:7" ht="60" x14ac:dyDescent="0.2">
      <c r="A4" s="49" t="s">
        <v>35</v>
      </c>
      <c r="B4" s="49" t="s">
        <v>33</v>
      </c>
      <c r="C4" s="49" t="s">
        <v>42</v>
      </c>
      <c r="D4" s="49" t="s">
        <v>38</v>
      </c>
      <c r="E4" s="49" t="s">
        <v>39</v>
      </c>
      <c r="F4" s="49" t="s">
        <v>50</v>
      </c>
      <c r="G4" s="49" t="s">
        <v>41</v>
      </c>
    </row>
    <row r="5" spans="1:7" ht="15" x14ac:dyDescent="0.25">
      <c r="A5" s="69">
        <v>1</v>
      </c>
      <c r="B5" s="69">
        <v>2</v>
      </c>
      <c r="C5" s="70">
        <v>3</v>
      </c>
      <c r="D5" s="69" t="s">
        <v>34</v>
      </c>
      <c r="E5" s="71" t="s">
        <v>44</v>
      </c>
      <c r="F5" s="71">
        <v>6</v>
      </c>
      <c r="G5" s="69" t="s">
        <v>214</v>
      </c>
    </row>
    <row r="6" spans="1:7" ht="15" x14ac:dyDescent="0.25">
      <c r="A6" s="15" t="s">
        <v>215</v>
      </c>
      <c r="B6" s="9">
        <v>176.75</v>
      </c>
      <c r="C6" s="414">
        <v>2002</v>
      </c>
      <c r="D6" s="410">
        <f>ROUND(B6/C6,2)</f>
        <v>0.09</v>
      </c>
      <c r="E6" s="410">
        <f>ROUND(AVERAGE(D6),2)</f>
        <v>0.09</v>
      </c>
      <c r="F6" s="458">
        <v>3</v>
      </c>
      <c r="G6" s="196"/>
    </row>
    <row r="7" spans="1:7" ht="15" x14ac:dyDescent="0.25">
      <c r="A7" s="15" t="s">
        <v>36</v>
      </c>
      <c r="B7" s="9">
        <v>176.75</v>
      </c>
      <c r="C7" s="414"/>
      <c r="D7" s="411"/>
      <c r="E7" s="411"/>
      <c r="F7" s="459"/>
      <c r="G7" s="197">
        <f>ROUND(E6*F6+E8*F8,2)</f>
        <v>0.31</v>
      </c>
    </row>
    <row r="8" spans="1:7" ht="15" x14ac:dyDescent="0.25">
      <c r="A8" s="15" t="s">
        <v>37</v>
      </c>
      <c r="B8" s="9">
        <v>75.75</v>
      </c>
      <c r="C8" s="414"/>
      <c r="D8" s="48">
        <f>ROUND(B8/C6,2)</f>
        <v>0.04</v>
      </c>
      <c r="E8" s="48">
        <f>D8</f>
        <v>0.04</v>
      </c>
      <c r="F8" s="198">
        <v>1</v>
      </c>
      <c r="G8" s="199"/>
    </row>
    <row r="9" spans="1:7" ht="15" x14ac:dyDescent="0.25">
      <c r="A9" s="5"/>
      <c r="B9" s="5"/>
      <c r="C9" s="5"/>
      <c r="D9" s="5"/>
      <c r="E9" s="5"/>
      <c r="F9" s="5"/>
      <c r="G9" s="5"/>
    </row>
    <row r="10" spans="1:7" ht="35.25" customHeight="1" x14ac:dyDescent="0.2">
      <c r="A10" s="407" t="s">
        <v>216</v>
      </c>
      <c r="B10" s="407"/>
      <c r="C10" s="407"/>
      <c r="D10" s="407"/>
      <c r="E10" s="407"/>
      <c r="F10" s="407"/>
      <c r="G10" s="407"/>
    </row>
    <row r="11" spans="1:7" ht="29.25" customHeight="1" x14ac:dyDescent="0.2">
      <c r="A11" s="407" t="s">
        <v>80</v>
      </c>
      <c r="B11" s="407"/>
      <c r="C11" s="407"/>
      <c r="D11" s="407"/>
      <c r="E11" s="407"/>
      <c r="F11" s="407"/>
      <c r="G11" s="407"/>
    </row>
    <row r="12" spans="1:7" ht="36.75" customHeight="1" x14ac:dyDescent="0.2">
      <c r="A12" s="407" t="s">
        <v>217</v>
      </c>
      <c r="B12" s="407"/>
      <c r="C12" s="407"/>
      <c r="D12" s="407"/>
      <c r="E12" s="407"/>
      <c r="F12" s="407"/>
      <c r="G12" s="407"/>
    </row>
    <row r="13" spans="1:7" ht="15" x14ac:dyDescent="0.2">
      <c r="A13" s="409" t="s">
        <v>48</v>
      </c>
      <c r="B13" s="409"/>
      <c r="C13" s="409"/>
      <c r="D13" s="409"/>
      <c r="E13" s="409"/>
      <c r="F13" s="409"/>
      <c r="G13" s="409"/>
    </row>
  </sheetData>
  <mergeCells count="10">
    <mergeCell ref="A10:G10"/>
    <mergeCell ref="A11:G11"/>
    <mergeCell ref="A12:G12"/>
    <mergeCell ref="A13:G13"/>
    <mergeCell ref="A2:G2"/>
    <mergeCell ref="A3:G3"/>
    <mergeCell ref="C6:C8"/>
    <mergeCell ref="D6:D7"/>
    <mergeCell ref="E6:E7"/>
    <mergeCell ref="F6:F7"/>
  </mergeCells>
  <hyperlinks>
    <hyperlink ref="A1" location="SATURS!A1" display="ATPAKAĻ uz SATURU" xr:uid="{B1B95F58-0623-4E05-987A-E8E340B50812}"/>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6D72-5E28-4EFF-B938-35288207D078}">
  <dimension ref="A1:C4"/>
  <sheetViews>
    <sheetView zoomScale="80" zoomScaleNormal="80" workbookViewId="0"/>
  </sheetViews>
  <sheetFormatPr defaultColWidth="9.140625" defaultRowHeight="15.75" x14ac:dyDescent="0.25"/>
  <cols>
    <col min="1" max="1" width="22.140625" style="201" customWidth="1"/>
    <col min="2" max="3" width="82.85546875" style="201" customWidth="1"/>
    <col min="4" max="16384" width="9.140625" style="201"/>
  </cols>
  <sheetData>
    <row r="1" spans="1:3" ht="16.5" thickBot="1" x14ac:dyDescent="0.3">
      <c r="A1" s="344" t="s">
        <v>324</v>
      </c>
    </row>
    <row r="2" spans="1:3" s="1" customFormat="1" ht="15" x14ac:dyDescent="0.25">
      <c r="A2" s="390" t="s">
        <v>218</v>
      </c>
      <c r="B2" s="390"/>
    </row>
    <row r="3" spans="1:3" s="1" customFormat="1" ht="38.25" customHeight="1" x14ac:dyDescent="0.25">
      <c r="A3" s="446" t="s">
        <v>219</v>
      </c>
      <c r="B3" s="446"/>
      <c r="C3" s="200"/>
    </row>
    <row r="4" spans="1:3" s="1" customFormat="1" ht="187.5" customHeight="1" x14ac:dyDescent="0.25">
      <c r="A4" s="460" t="s">
        <v>220</v>
      </c>
      <c r="B4" s="461"/>
    </row>
  </sheetData>
  <mergeCells count="3">
    <mergeCell ref="A2:B2"/>
    <mergeCell ref="A3:B3"/>
    <mergeCell ref="A4:B4"/>
  </mergeCells>
  <hyperlinks>
    <hyperlink ref="A1" location="SATURS!A1" display="ATPAKAĻ uz SATURU" xr:uid="{75CFA4D2-5158-4294-A790-7022D494AD1C}"/>
  </hyperlinks>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B50D-57D1-441A-9FD9-ABF8C4A1BBAD}">
  <sheetPr>
    <pageSetUpPr fitToPage="1"/>
  </sheetPr>
  <dimension ref="A1:H15"/>
  <sheetViews>
    <sheetView zoomScaleNormal="100" workbookViewId="0"/>
  </sheetViews>
  <sheetFormatPr defaultColWidth="9.140625" defaultRowHeight="15" x14ac:dyDescent="0.25"/>
  <cols>
    <col min="1" max="1" width="34" style="202" customWidth="1"/>
    <col min="2" max="2" width="9.140625" style="202"/>
    <col min="3" max="3" width="11.42578125" style="202" customWidth="1"/>
    <col min="4" max="4" width="12.140625" style="202" customWidth="1"/>
    <col min="5" max="5" width="36.85546875" style="202" customWidth="1"/>
    <col min="6" max="6" width="46.42578125" style="202" customWidth="1"/>
    <col min="7" max="7" width="89.140625" style="202" bestFit="1" customWidth="1"/>
    <col min="8" max="8" width="10.85546875" style="202" bestFit="1" customWidth="1"/>
    <col min="9" max="16384" width="9.140625" style="202"/>
  </cols>
  <sheetData>
    <row r="1" spans="1:8" ht="15.75" thickBot="1" x14ac:dyDescent="0.3">
      <c r="A1" s="344" t="s">
        <v>324</v>
      </c>
    </row>
    <row r="2" spans="1:8" x14ac:dyDescent="0.25">
      <c r="A2" s="464" t="s">
        <v>222</v>
      </c>
      <c r="B2" s="464"/>
      <c r="C2" s="464"/>
      <c r="D2" s="464"/>
      <c r="E2" s="464"/>
      <c r="F2" s="464"/>
      <c r="G2" s="464"/>
    </row>
    <row r="3" spans="1:8" x14ac:dyDescent="0.25">
      <c r="A3" s="465" t="s">
        <v>392</v>
      </c>
      <c r="B3" s="465"/>
      <c r="C3" s="465"/>
      <c r="D3" s="465"/>
      <c r="E3" s="465"/>
      <c r="F3" s="465"/>
      <c r="G3" s="465"/>
    </row>
    <row r="4" spans="1:8" ht="57" x14ac:dyDescent="0.25">
      <c r="A4" s="466"/>
      <c r="B4" s="467" t="s">
        <v>9</v>
      </c>
      <c r="C4" s="203" t="s">
        <v>223</v>
      </c>
      <c r="D4" s="203" t="s">
        <v>224</v>
      </c>
      <c r="E4" s="467" t="s">
        <v>0</v>
      </c>
      <c r="F4" s="468" t="s">
        <v>92</v>
      </c>
      <c r="G4" s="468" t="s">
        <v>93</v>
      </c>
    </row>
    <row r="5" spans="1:8" x14ac:dyDescent="0.25">
      <c r="A5" s="466"/>
      <c r="B5" s="467"/>
      <c r="C5" s="204" t="s">
        <v>26</v>
      </c>
      <c r="D5" s="204" t="s">
        <v>26</v>
      </c>
      <c r="E5" s="467"/>
      <c r="F5" s="468"/>
      <c r="G5" s="468"/>
    </row>
    <row r="6" spans="1:8" ht="152.25" customHeight="1" x14ac:dyDescent="0.25">
      <c r="A6" s="205" t="s">
        <v>4</v>
      </c>
      <c r="B6" s="205">
        <f>SUM(B7:B11)</f>
        <v>7.77</v>
      </c>
      <c r="C6" s="206">
        <f>SUM(C7:C11)</f>
        <v>2223</v>
      </c>
      <c r="D6" s="206">
        <f>SUM(D7:D11)</f>
        <v>74.099999999999994</v>
      </c>
      <c r="E6" s="205"/>
      <c r="F6" s="207" t="s">
        <v>225</v>
      </c>
      <c r="G6" s="207" t="s">
        <v>401</v>
      </c>
    </row>
    <row r="7" spans="1:8" ht="267.75" customHeight="1" x14ac:dyDescent="0.25">
      <c r="A7" s="208" t="s">
        <v>226</v>
      </c>
      <c r="B7" s="209">
        <v>0.73</v>
      </c>
      <c r="C7" s="210">
        <f>8.26*30</f>
        <v>247.79999999999998</v>
      </c>
      <c r="D7" s="210">
        <f>ROUND((1357.09/4/30)*0.73,2)</f>
        <v>8.26</v>
      </c>
      <c r="E7" s="359" t="s">
        <v>371</v>
      </c>
      <c r="F7" s="365" t="s">
        <v>372</v>
      </c>
      <c r="G7" s="212" t="s">
        <v>387</v>
      </c>
    </row>
    <row r="8" spans="1:8" ht="222.75" customHeight="1" x14ac:dyDescent="0.25">
      <c r="A8" s="213" t="s">
        <v>227</v>
      </c>
      <c r="B8" s="209">
        <v>0.73</v>
      </c>
      <c r="C8" s="210">
        <f>11.25*30</f>
        <v>337.5</v>
      </c>
      <c r="D8" s="210">
        <f>ROUND((1849.51/4/30)*0.73,2)</f>
        <v>11.25</v>
      </c>
      <c r="E8" s="359" t="s">
        <v>373</v>
      </c>
      <c r="F8" s="366" t="s">
        <v>374</v>
      </c>
      <c r="G8" s="211" t="s">
        <v>386</v>
      </c>
    </row>
    <row r="9" spans="1:8" ht="241.5" customHeight="1" x14ac:dyDescent="0.25">
      <c r="A9" s="213" t="s">
        <v>228</v>
      </c>
      <c r="B9" s="209">
        <v>0.18</v>
      </c>
      <c r="C9" s="210">
        <f>2.04*30</f>
        <v>61.2</v>
      </c>
      <c r="D9" s="210">
        <f>ROUND((1357.09/4/30)*0.18,2)</f>
        <v>2.04</v>
      </c>
      <c r="E9" s="359" t="s">
        <v>325</v>
      </c>
      <c r="F9" s="365" t="s">
        <v>375</v>
      </c>
      <c r="G9" s="211" t="s">
        <v>383</v>
      </c>
    </row>
    <row r="10" spans="1:8" ht="198" customHeight="1" x14ac:dyDescent="0.25">
      <c r="A10" s="213" t="s">
        <v>229</v>
      </c>
      <c r="B10" s="209">
        <v>4.38</v>
      </c>
      <c r="C10" s="210">
        <f>37.55*30</f>
        <v>1126.5</v>
      </c>
      <c r="D10" s="210">
        <f>ROUND((1028.82/4/30)*4.38,2)</f>
        <v>37.549999999999997</v>
      </c>
      <c r="E10" s="359" t="s">
        <v>376</v>
      </c>
      <c r="F10" s="365" t="s">
        <v>377</v>
      </c>
      <c r="G10" s="211" t="s">
        <v>384</v>
      </c>
      <c r="H10" s="353"/>
    </row>
    <row r="11" spans="1:8" ht="199.5" customHeight="1" x14ac:dyDescent="0.25">
      <c r="A11" s="213" t="s">
        <v>230</v>
      </c>
      <c r="B11" s="215">
        <v>1.75</v>
      </c>
      <c r="C11" s="347">
        <f>15*30</f>
        <v>450</v>
      </c>
      <c r="D11" s="210">
        <f>ROUND((1028.82/4/30)*1.75,2)</f>
        <v>15</v>
      </c>
      <c r="E11" s="359" t="s">
        <v>378</v>
      </c>
      <c r="F11" s="365" t="s">
        <v>379</v>
      </c>
      <c r="G11" s="211" t="s">
        <v>385</v>
      </c>
      <c r="H11" s="214"/>
    </row>
    <row r="12" spans="1:8" ht="94.5" customHeight="1" x14ac:dyDescent="0.25">
      <c r="A12" s="205" t="s">
        <v>231</v>
      </c>
      <c r="B12" s="216"/>
      <c r="C12" s="206">
        <f>D12*30</f>
        <v>549.6</v>
      </c>
      <c r="D12" s="206">
        <v>18.32</v>
      </c>
      <c r="E12" s="217" t="s">
        <v>232</v>
      </c>
      <c r="F12" s="462" t="s">
        <v>233</v>
      </c>
      <c r="G12" s="463"/>
    </row>
    <row r="13" spans="1:8" x14ac:dyDescent="0.25">
      <c r="A13" s="218" t="s">
        <v>57</v>
      </c>
      <c r="B13" s="219"/>
      <c r="C13" s="206">
        <f>C12+C6</f>
        <v>2772.6</v>
      </c>
      <c r="D13" s="206">
        <f>D12+D6</f>
        <v>92.419999999999987</v>
      </c>
      <c r="E13" s="220"/>
      <c r="F13" s="221"/>
      <c r="G13" s="221"/>
    </row>
    <row r="14" spans="1:8" x14ac:dyDescent="0.25">
      <c r="D14" s="214"/>
    </row>
    <row r="15" spans="1:8" x14ac:dyDescent="0.25">
      <c r="D15" s="214"/>
    </row>
  </sheetData>
  <mergeCells count="8">
    <mergeCell ref="F12:G12"/>
    <mergeCell ref="A2:G2"/>
    <mergeCell ref="A3:G3"/>
    <mergeCell ref="A4:A5"/>
    <mergeCell ref="B4:B5"/>
    <mergeCell ref="E4:E5"/>
    <mergeCell ref="F4:F5"/>
    <mergeCell ref="G4:G5"/>
  </mergeCells>
  <hyperlinks>
    <hyperlink ref="A1" location="SATURS!A1" display="ATPAKAĻ uz SATURU" xr:uid="{30B3D94B-A15A-4DB3-AF50-165B692C6C64}"/>
  </hyperlinks>
  <pageMargins left="0.70866141732283472" right="0.70866141732283472" top="0.74803149606299213" bottom="0.74803149606299213" header="0.31496062992125984" footer="0.31496062992125984"/>
  <pageSetup paperSize="9" scale="3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92036-A488-423D-8FBA-BC5C4278E71E}">
  <sheetPr>
    <pageSetUpPr fitToPage="1"/>
  </sheetPr>
  <dimension ref="A1:K21"/>
  <sheetViews>
    <sheetView topLeftCell="A7" zoomScale="95" zoomScaleNormal="95" workbookViewId="0">
      <selection activeCell="G19" sqref="G19"/>
    </sheetView>
  </sheetViews>
  <sheetFormatPr defaultColWidth="9.140625" defaultRowHeight="12.75" x14ac:dyDescent="0.2"/>
  <cols>
    <col min="1" max="1" width="7.7109375" style="222" customWidth="1"/>
    <col min="2" max="2" width="24.7109375" style="222" customWidth="1"/>
    <col min="3" max="3" width="12.85546875" style="222" customWidth="1"/>
    <col min="4" max="4" width="10.42578125" style="222" customWidth="1"/>
    <col min="5" max="5" width="14.85546875" style="222" customWidth="1"/>
    <col min="6" max="6" width="10.7109375" style="222" customWidth="1"/>
    <col min="7" max="7" width="12.28515625" style="222" customWidth="1"/>
    <col min="8" max="8" width="13.28515625" style="222" customWidth="1"/>
    <col min="9" max="16384" width="9.140625" style="222"/>
  </cols>
  <sheetData>
    <row r="1" spans="1:11" ht="13.5" thickBot="1" x14ac:dyDescent="0.25">
      <c r="B1" s="344" t="s">
        <v>324</v>
      </c>
    </row>
    <row r="2" spans="1:11" ht="15" x14ac:dyDescent="0.2">
      <c r="A2" s="475" t="s">
        <v>234</v>
      </c>
      <c r="B2" s="475"/>
      <c r="C2" s="475"/>
      <c r="D2" s="475"/>
      <c r="E2" s="475"/>
      <c r="F2" s="475"/>
      <c r="G2" s="475"/>
      <c r="H2" s="475"/>
      <c r="I2" s="475"/>
      <c r="J2" s="475"/>
      <c r="K2" s="475"/>
    </row>
    <row r="5" spans="1:11" ht="46.5" customHeight="1" x14ac:dyDescent="0.3">
      <c r="A5" s="476" t="s">
        <v>235</v>
      </c>
      <c r="B5" s="476"/>
      <c r="C5" s="476"/>
      <c r="D5" s="476"/>
      <c r="E5" s="476"/>
      <c r="F5" s="476"/>
      <c r="G5" s="476"/>
      <c r="H5" s="476"/>
    </row>
    <row r="7" spans="1:11" ht="86.25" customHeight="1" x14ac:dyDescent="0.3">
      <c r="A7" s="477" t="s">
        <v>236</v>
      </c>
      <c r="B7" s="478" t="s">
        <v>237</v>
      </c>
      <c r="C7" s="478" t="s">
        <v>380</v>
      </c>
      <c r="D7" s="478"/>
      <c r="E7" s="478" t="s">
        <v>381</v>
      </c>
      <c r="F7" s="478"/>
      <c r="G7" s="478" t="s">
        <v>206</v>
      </c>
      <c r="H7" s="479" t="s">
        <v>238</v>
      </c>
    </row>
    <row r="8" spans="1:11" ht="18.75" x14ac:dyDescent="0.3">
      <c r="A8" s="477"/>
      <c r="B8" s="478"/>
      <c r="C8" s="223" t="s">
        <v>239</v>
      </c>
      <c r="D8" s="223" t="s">
        <v>238</v>
      </c>
      <c r="E8" s="223" t="s">
        <v>239</v>
      </c>
      <c r="F8" s="223" t="s">
        <v>238</v>
      </c>
      <c r="G8" s="478"/>
      <c r="H8" s="480"/>
    </row>
    <row r="9" spans="1:11" ht="18.75" x14ac:dyDescent="0.3">
      <c r="A9" s="223">
        <v>1</v>
      </c>
      <c r="B9" s="223" t="s">
        <v>240</v>
      </c>
      <c r="C9" s="351">
        <v>222.75</v>
      </c>
      <c r="D9" s="351">
        <f>ROUND((C9*100)/G9,0)</f>
        <v>83</v>
      </c>
      <c r="E9" s="351">
        <v>44.27</v>
      </c>
      <c r="F9" s="351">
        <f>ROUND((E9*100)/G9,0)</f>
        <v>17</v>
      </c>
      <c r="G9" s="225">
        <f>C9+E9</f>
        <v>267.02</v>
      </c>
      <c r="H9" s="351">
        <f>D9+F9</f>
        <v>100</v>
      </c>
    </row>
    <row r="10" spans="1:11" ht="18.75" x14ac:dyDescent="0.3">
      <c r="A10" s="223">
        <v>2</v>
      </c>
      <c r="B10" s="223" t="s">
        <v>241</v>
      </c>
      <c r="C10" s="351">
        <v>99.81</v>
      </c>
      <c r="D10" s="351">
        <f t="shared" ref="D10:D15" si="0">ROUND((C10*100)/G10,0)</f>
        <v>93</v>
      </c>
      <c r="E10" s="351">
        <v>7.28</v>
      </c>
      <c r="F10" s="351">
        <f t="shared" ref="F10:F15" si="1">ROUND((E10*100)/G10,0)</f>
        <v>7</v>
      </c>
      <c r="G10" s="225">
        <f t="shared" ref="G10:H15" si="2">C10+E10</f>
        <v>107.09</v>
      </c>
      <c r="H10" s="351">
        <f t="shared" si="2"/>
        <v>100</v>
      </c>
    </row>
    <row r="11" spans="1:11" ht="18.75" x14ac:dyDescent="0.3">
      <c r="A11" s="223">
        <v>3</v>
      </c>
      <c r="B11" s="223" t="s">
        <v>242</v>
      </c>
      <c r="C11" s="351">
        <v>56.5</v>
      </c>
      <c r="D11" s="351">
        <f t="shared" si="0"/>
        <v>72</v>
      </c>
      <c r="E11" s="351">
        <v>22.24</v>
      </c>
      <c r="F11" s="351">
        <f t="shared" si="1"/>
        <v>28</v>
      </c>
      <c r="G11" s="225">
        <f t="shared" si="2"/>
        <v>78.739999999999995</v>
      </c>
      <c r="H11" s="351">
        <f t="shared" si="2"/>
        <v>100</v>
      </c>
    </row>
    <row r="12" spans="1:11" ht="18.75" x14ac:dyDescent="0.3">
      <c r="A12" s="223">
        <v>4</v>
      </c>
      <c r="B12" s="223" t="s">
        <v>243</v>
      </c>
      <c r="C12" s="351">
        <v>93.32</v>
      </c>
      <c r="D12" s="351">
        <f t="shared" si="0"/>
        <v>90</v>
      </c>
      <c r="E12" s="351">
        <v>10.75</v>
      </c>
      <c r="F12" s="351">
        <f t="shared" si="1"/>
        <v>10</v>
      </c>
      <c r="G12" s="225">
        <f t="shared" si="2"/>
        <v>104.07</v>
      </c>
      <c r="H12" s="351">
        <f t="shared" si="2"/>
        <v>100</v>
      </c>
    </row>
    <row r="13" spans="1:11" ht="18.75" x14ac:dyDescent="0.3">
      <c r="A13" s="223">
        <v>5</v>
      </c>
      <c r="B13" s="223" t="s">
        <v>244</v>
      </c>
      <c r="C13" s="351">
        <v>108.02</v>
      </c>
      <c r="D13" s="351">
        <f t="shared" si="0"/>
        <v>93</v>
      </c>
      <c r="E13" s="351">
        <v>8.26</v>
      </c>
      <c r="F13" s="351">
        <f t="shared" si="1"/>
        <v>7</v>
      </c>
      <c r="G13" s="225">
        <f t="shared" si="2"/>
        <v>116.28</v>
      </c>
      <c r="H13" s="351">
        <f t="shared" si="2"/>
        <v>100</v>
      </c>
    </row>
    <row r="14" spans="1:11" ht="18.75" x14ac:dyDescent="0.3">
      <c r="A14" s="223">
        <v>6</v>
      </c>
      <c r="B14" s="223" t="s">
        <v>245</v>
      </c>
      <c r="C14" s="351">
        <v>21.08</v>
      </c>
      <c r="D14" s="351">
        <f t="shared" si="0"/>
        <v>75</v>
      </c>
      <c r="E14" s="351">
        <v>7.18</v>
      </c>
      <c r="F14" s="351">
        <f t="shared" si="1"/>
        <v>25</v>
      </c>
      <c r="G14" s="225">
        <f t="shared" si="2"/>
        <v>28.259999999999998</v>
      </c>
      <c r="H14" s="351">
        <f t="shared" si="2"/>
        <v>100</v>
      </c>
    </row>
    <row r="15" spans="1:11" ht="56.25" x14ac:dyDescent="0.3">
      <c r="A15" s="223"/>
      <c r="B15" s="224" t="s">
        <v>246</v>
      </c>
      <c r="C15" s="227">
        <f>SUM(C9:C14)/6</f>
        <v>100.24666666666667</v>
      </c>
      <c r="D15" s="367">
        <f t="shared" si="0"/>
        <v>86</v>
      </c>
      <c r="E15" s="227">
        <f>SUM(E9:E14)/6</f>
        <v>16.663333333333338</v>
      </c>
      <c r="F15" s="367">
        <f t="shared" si="1"/>
        <v>14</v>
      </c>
      <c r="G15" s="227">
        <f t="shared" si="2"/>
        <v>116.91000000000001</v>
      </c>
      <c r="H15" s="367">
        <f t="shared" si="2"/>
        <v>100</v>
      </c>
    </row>
    <row r="16" spans="1:11" ht="18.75" x14ac:dyDescent="0.3">
      <c r="A16" s="223"/>
      <c r="B16" s="223"/>
      <c r="C16" s="223"/>
      <c r="D16" s="223"/>
      <c r="E16" s="223"/>
      <c r="F16" s="223"/>
      <c r="G16" s="223"/>
      <c r="H16" s="223"/>
    </row>
    <row r="18" spans="2:5" ht="48" customHeight="1" x14ac:dyDescent="0.3">
      <c r="B18" s="469" t="s">
        <v>247</v>
      </c>
      <c r="C18" s="470"/>
      <c r="D18" s="471"/>
      <c r="E18" s="225">
        <f>E15</f>
        <v>16.663333333333338</v>
      </c>
    </row>
    <row r="19" spans="2:5" ht="45.75" customHeight="1" x14ac:dyDescent="0.3">
      <c r="B19" s="469" t="s">
        <v>248</v>
      </c>
      <c r="C19" s="470"/>
      <c r="D19" s="471"/>
      <c r="E19" s="226">
        <f>'7.4.3.. pielikums'!F11</f>
        <v>1.1499999999999999</v>
      </c>
    </row>
    <row r="20" spans="2:5" ht="45" customHeight="1" x14ac:dyDescent="0.3">
      <c r="B20" s="469" t="s">
        <v>249</v>
      </c>
      <c r="C20" s="470"/>
      <c r="D20" s="471"/>
      <c r="E20" s="225">
        <v>0.51</v>
      </c>
    </row>
    <row r="21" spans="2:5" ht="68.25" customHeight="1" x14ac:dyDescent="0.3">
      <c r="B21" s="472" t="s">
        <v>250</v>
      </c>
      <c r="C21" s="473"/>
      <c r="D21" s="474"/>
      <c r="E21" s="227">
        <f>SUM(E18:E20)</f>
        <v>18.323333333333338</v>
      </c>
    </row>
  </sheetData>
  <mergeCells count="12">
    <mergeCell ref="B18:D18"/>
    <mergeCell ref="B19:D19"/>
    <mergeCell ref="B20:D20"/>
    <mergeCell ref="B21:D21"/>
    <mergeCell ref="A2:K2"/>
    <mergeCell ref="A5:H5"/>
    <mergeCell ref="A7:A8"/>
    <mergeCell ref="B7:B8"/>
    <mergeCell ref="C7:D7"/>
    <mergeCell ref="E7:F7"/>
    <mergeCell ref="G7:G8"/>
    <mergeCell ref="H7:H8"/>
  </mergeCells>
  <hyperlinks>
    <hyperlink ref="B1" location="SATURS!A1" display="ATPAKAĻ uz SATURU" xr:uid="{67029196-ADE4-4333-815F-EFCA9E1ADB84}"/>
  </hyperlinks>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683F-B040-4194-B3C7-6ACD235EA685}">
  <dimension ref="A1:F11"/>
  <sheetViews>
    <sheetView zoomScale="106" zoomScaleNormal="106" workbookViewId="0">
      <selection activeCell="E7" sqref="E7"/>
    </sheetView>
  </sheetViews>
  <sheetFormatPr defaultRowHeight="12.75" x14ac:dyDescent="0.2"/>
  <cols>
    <col min="1" max="1" width="26.140625" customWidth="1"/>
    <col min="3" max="3" width="13.42578125" customWidth="1"/>
    <col min="4" max="4" width="36.85546875" customWidth="1"/>
    <col min="5" max="5" width="55.28515625" customWidth="1"/>
    <col min="6" max="6" width="64.5703125" customWidth="1"/>
  </cols>
  <sheetData>
    <row r="1" spans="1:6" ht="13.5" thickBot="1" x14ac:dyDescent="0.25">
      <c r="A1" s="344" t="s">
        <v>324</v>
      </c>
    </row>
    <row r="2" spans="1:6" ht="15" x14ac:dyDescent="0.25">
      <c r="A2" s="381" t="s">
        <v>89</v>
      </c>
      <c r="B2" s="381"/>
      <c r="C2" s="381"/>
      <c r="D2" s="381"/>
      <c r="E2" s="381"/>
      <c r="F2" s="381"/>
    </row>
    <row r="3" spans="1:6" ht="14.25" x14ac:dyDescent="0.2">
      <c r="A3" s="382" t="s">
        <v>389</v>
      </c>
      <c r="B3" s="382"/>
      <c r="C3" s="382"/>
      <c r="D3" s="382"/>
      <c r="E3" s="382"/>
      <c r="F3" s="382"/>
    </row>
    <row r="4" spans="1:6" ht="42.75" x14ac:dyDescent="0.2">
      <c r="A4" s="383"/>
      <c r="B4" s="384" t="s">
        <v>9</v>
      </c>
      <c r="C4" s="79" t="s">
        <v>62</v>
      </c>
      <c r="D4" s="384" t="s">
        <v>0</v>
      </c>
      <c r="E4" s="385" t="s">
        <v>397</v>
      </c>
      <c r="F4" s="385" t="s">
        <v>93</v>
      </c>
    </row>
    <row r="5" spans="1:6" ht="15" x14ac:dyDescent="0.2">
      <c r="A5" s="383"/>
      <c r="B5" s="384"/>
      <c r="C5" s="55" t="s">
        <v>26</v>
      </c>
      <c r="D5" s="384"/>
      <c r="E5" s="385"/>
      <c r="F5" s="385"/>
    </row>
    <row r="6" spans="1:6" ht="75" x14ac:dyDescent="0.25">
      <c r="A6" s="46" t="s">
        <v>4</v>
      </c>
      <c r="B6" s="54">
        <f>SUM(B7:B8)</f>
        <v>2</v>
      </c>
      <c r="C6" s="354">
        <f>SUM(C7:C8)</f>
        <v>6.14</v>
      </c>
      <c r="D6" s="355"/>
      <c r="E6" s="356" t="s">
        <v>79</v>
      </c>
      <c r="F6" s="357"/>
    </row>
    <row r="7" spans="1:6" ht="247.5" customHeight="1" x14ac:dyDescent="0.2">
      <c r="A7" s="6" t="s">
        <v>7</v>
      </c>
      <c r="B7" s="7">
        <v>1</v>
      </c>
      <c r="C7" s="358">
        <f>ROUND(1028.83/21/8,2)</f>
        <v>6.12</v>
      </c>
      <c r="D7" s="359" t="s">
        <v>338</v>
      </c>
      <c r="E7" s="191" t="s">
        <v>339</v>
      </c>
      <c r="F7" s="359" t="s">
        <v>364</v>
      </c>
    </row>
    <row r="8" spans="1:6" ht="150" x14ac:dyDescent="0.2">
      <c r="A8" s="8" t="s">
        <v>52</v>
      </c>
      <c r="B8" s="9">
        <v>1</v>
      </c>
      <c r="C8" s="358">
        <f>ROUND(1085.67/400/21/8,2)</f>
        <v>0.02</v>
      </c>
      <c r="D8" s="360" t="s">
        <v>340</v>
      </c>
      <c r="E8" s="361" t="s">
        <v>341</v>
      </c>
      <c r="F8" s="360" t="s">
        <v>365</v>
      </c>
    </row>
    <row r="9" spans="1:6" ht="108" customHeight="1" x14ac:dyDescent="0.2">
      <c r="A9" s="13" t="s">
        <v>31</v>
      </c>
      <c r="B9" s="81"/>
      <c r="C9" s="362">
        <v>0.49</v>
      </c>
      <c r="D9" s="363" t="s">
        <v>83</v>
      </c>
      <c r="E9" s="379" t="s">
        <v>335</v>
      </c>
      <c r="F9" s="380"/>
    </row>
    <row r="10" spans="1:6" ht="15" x14ac:dyDescent="0.2">
      <c r="A10" s="53" t="s">
        <v>57</v>
      </c>
      <c r="B10" s="81"/>
      <c r="C10" s="362">
        <f>C9+C6</f>
        <v>6.63</v>
      </c>
      <c r="D10" s="83"/>
      <c r="E10" s="350"/>
      <c r="F10" s="350"/>
    </row>
    <row r="11" spans="1:6" ht="15" x14ac:dyDescent="0.25">
      <c r="A11" s="1"/>
      <c r="B11" s="1"/>
      <c r="C11" s="2"/>
      <c r="D11" s="1"/>
      <c r="E11" s="1"/>
      <c r="F11" s="1"/>
    </row>
  </sheetData>
  <mergeCells count="8">
    <mergeCell ref="E9:F9"/>
    <mergeCell ref="A2:F2"/>
    <mergeCell ref="A3:F3"/>
    <mergeCell ref="A4:A5"/>
    <mergeCell ref="B4:B5"/>
    <mergeCell ref="D4:D5"/>
    <mergeCell ref="E4:E5"/>
    <mergeCell ref="F4:F5"/>
  </mergeCells>
  <hyperlinks>
    <hyperlink ref="A1" location="SATURS!A1" display="ATPAKAĻ uz SATURU" xr:uid="{074AF1DB-5528-401E-9F15-4EF883992F39}"/>
  </hyperlinks>
  <pageMargins left="0.7" right="0.7" top="0.75" bottom="0.75" header="0.3" footer="0.3"/>
  <pageSetup paperSize="9" scale="4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8B05E-BEA1-4C9D-B4B9-AE2240BDD9E4}">
  <dimension ref="A1:F13"/>
  <sheetViews>
    <sheetView zoomScaleNormal="100" workbookViewId="0">
      <selection activeCell="G6" sqref="G6"/>
    </sheetView>
  </sheetViews>
  <sheetFormatPr defaultColWidth="9.140625" defaultRowHeight="15" x14ac:dyDescent="0.25"/>
  <cols>
    <col min="1" max="1" width="22.140625" style="202" customWidth="1"/>
    <col min="2" max="2" width="16.42578125" style="202" customWidth="1"/>
    <col min="3" max="3" width="13.85546875" style="202" customWidth="1"/>
    <col min="4" max="4" width="21.140625" style="202" customWidth="1"/>
    <col min="5" max="5" width="20.7109375" style="202" customWidth="1"/>
    <col min="6" max="6" width="24.42578125" style="202" customWidth="1"/>
    <col min="7" max="16384" width="9.140625" style="202"/>
  </cols>
  <sheetData>
    <row r="1" spans="1:6" ht="15.75" thickBot="1" x14ac:dyDescent="0.3">
      <c r="A1" s="344" t="s">
        <v>324</v>
      </c>
    </row>
    <row r="2" spans="1:6" x14ac:dyDescent="0.25">
      <c r="A2" s="464" t="s">
        <v>251</v>
      </c>
      <c r="B2" s="464"/>
      <c r="C2" s="464"/>
      <c r="D2" s="464"/>
      <c r="E2" s="464"/>
      <c r="F2" s="464"/>
    </row>
    <row r="3" spans="1:6" x14ac:dyDescent="0.25">
      <c r="A3" s="481" t="s">
        <v>252</v>
      </c>
      <c r="B3" s="481"/>
      <c r="C3" s="481"/>
      <c r="D3" s="481"/>
      <c r="E3" s="481"/>
      <c r="F3" s="481"/>
    </row>
    <row r="4" spans="1:6" ht="57" x14ac:dyDescent="0.25">
      <c r="A4" s="228" t="s">
        <v>138</v>
      </c>
      <c r="B4" s="229" t="s">
        <v>139</v>
      </c>
      <c r="C4" s="229" t="s">
        <v>5</v>
      </c>
      <c r="D4" s="229" t="s">
        <v>140</v>
      </c>
      <c r="E4" s="203" t="s">
        <v>253</v>
      </c>
      <c r="F4" s="203" t="s">
        <v>254</v>
      </c>
    </row>
    <row r="5" spans="1:6" x14ac:dyDescent="0.25">
      <c r="A5" s="230">
        <v>1</v>
      </c>
      <c r="B5" s="230">
        <v>2</v>
      </c>
      <c r="C5" s="230">
        <v>3</v>
      </c>
      <c r="D5" s="231" t="s">
        <v>28</v>
      </c>
      <c r="E5" s="230" t="s">
        <v>29</v>
      </c>
      <c r="F5" s="231" t="s">
        <v>255</v>
      </c>
    </row>
    <row r="6" spans="1:6" x14ac:dyDescent="0.25">
      <c r="A6" s="212" t="s">
        <v>144</v>
      </c>
      <c r="B6" s="232">
        <v>4</v>
      </c>
      <c r="C6" s="233">
        <v>0.73</v>
      </c>
      <c r="D6" s="234">
        <f>ROUND(C6*213.43,2)</f>
        <v>155.80000000000001</v>
      </c>
      <c r="E6" s="234">
        <f>ROUND(D6/B6,2)</f>
        <v>38.950000000000003</v>
      </c>
      <c r="F6" s="234">
        <f>ROUND(E6/365,2)</f>
        <v>0.11</v>
      </c>
    </row>
    <row r="7" spans="1:6" x14ac:dyDescent="0.25">
      <c r="A7" s="212" t="s">
        <v>145</v>
      </c>
      <c r="B7" s="232">
        <v>4</v>
      </c>
      <c r="C7" s="233">
        <v>0.73</v>
      </c>
      <c r="D7" s="234">
        <f t="shared" ref="D7:D10" si="0">ROUND(C7*213.43,2)</f>
        <v>155.80000000000001</v>
      </c>
      <c r="E7" s="234">
        <f t="shared" ref="E7:E10" si="1">ROUND(D7/B7,2)</f>
        <v>38.950000000000003</v>
      </c>
      <c r="F7" s="234">
        <f t="shared" ref="F7:F10" si="2">ROUND(E7/365,2)</f>
        <v>0.11</v>
      </c>
    </row>
    <row r="8" spans="1:6" x14ac:dyDescent="0.25">
      <c r="A8" s="212" t="s">
        <v>146</v>
      </c>
      <c r="B8" s="232">
        <v>4</v>
      </c>
      <c r="C8" s="233">
        <v>0.18</v>
      </c>
      <c r="D8" s="234">
        <f t="shared" si="0"/>
        <v>38.42</v>
      </c>
      <c r="E8" s="234">
        <f t="shared" si="1"/>
        <v>9.61</v>
      </c>
      <c r="F8" s="234">
        <f t="shared" si="2"/>
        <v>0.03</v>
      </c>
    </row>
    <row r="9" spans="1:6" x14ac:dyDescent="0.25">
      <c r="A9" s="212" t="s">
        <v>2</v>
      </c>
      <c r="B9" s="232">
        <v>4</v>
      </c>
      <c r="C9" s="233">
        <v>4.38</v>
      </c>
      <c r="D9" s="234">
        <f t="shared" si="0"/>
        <v>934.82</v>
      </c>
      <c r="E9" s="234">
        <f t="shared" si="1"/>
        <v>233.71</v>
      </c>
      <c r="F9" s="234">
        <f t="shared" si="2"/>
        <v>0.64</v>
      </c>
    </row>
    <row r="10" spans="1:6" x14ac:dyDescent="0.25">
      <c r="A10" s="212" t="s">
        <v>2</v>
      </c>
      <c r="B10" s="232">
        <v>4</v>
      </c>
      <c r="C10" s="233">
        <v>1.75</v>
      </c>
      <c r="D10" s="234">
        <f t="shared" si="0"/>
        <v>373.5</v>
      </c>
      <c r="E10" s="234">
        <f t="shared" si="1"/>
        <v>93.38</v>
      </c>
      <c r="F10" s="234">
        <f t="shared" si="2"/>
        <v>0.26</v>
      </c>
    </row>
    <row r="11" spans="1:6" x14ac:dyDescent="0.25">
      <c r="A11" s="235" t="s">
        <v>57</v>
      </c>
      <c r="B11" s="236">
        <f>AVERAGE(B6:B10)</f>
        <v>4</v>
      </c>
      <c r="C11" s="237">
        <f>SUM(C6:C10)</f>
        <v>7.77</v>
      </c>
      <c r="D11" s="238">
        <f>ROUND(SUM(D6:D10),2)</f>
        <v>1658.34</v>
      </c>
      <c r="E11" s="238">
        <f>ROUND(SUM(E6:E10),2)</f>
        <v>414.6</v>
      </c>
      <c r="F11" s="238">
        <f>ROUND(SUM(F6:F10),2)</f>
        <v>1.1499999999999999</v>
      </c>
    </row>
    <row r="12" spans="1:6" x14ac:dyDescent="0.25">
      <c r="A12" s="239"/>
      <c r="B12" s="239"/>
      <c r="C12" s="239"/>
      <c r="D12" s="239"/>
      <c r="E12" s="239"/>
      <c r="F12" s="239"/>
    </row>
    <row r="13" spans="1:6" ht="121.5" customHeight="1" x14ac:dyDescent="0.25">
      <c r="A13" s="482" t="s">
        <v>148</v>
      </c>
      <c r="B13" s="482"/>
      <c r="C13" s="482"/>
      <c r="D13" s="482"/>
      <c r="E13" s="482"/>
      <c r="F13" s="482"/>
    </row>
  </sheetData>
  <mergeCells count="3">
    <mergeCell ref="A2:F2"/>
    <mergeCell ref="A3:F3"/>
    <mergeCell ref="A13:F13"/>
  </mergeCells>
  <hyperlinks>
    <hyperlink ref="A1" location="SATURS!A1" display="ATPAKAĻ uz SATURU" xr:uid="{41834702-5D89-475F-BB4C-868690D208A7}"/>
  </hyperlink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0740-7545-4169-B078-7028DA412F80}">
  <dimension ref="A1:J12"/>
  <sheetViews>
    <sheetView zoomScale="93" zoomScaleNormal="93" workbookViewId="0">
      <selection activeCell="C16" sqref="C16"/>
    </sheetView>
  </sheetViews>
  <sheetFormatPr defaultColWidth="9.140625" defaultRowHeight="15" x14ac:dyDescent="0.25"/>
  <cols>
    <col min="1" max="1" width="32.7109375" style="240" customWidth="1"/>
    <col min="2" max="2" width="15.28515625" style="240" customWidth="1"/>
    <col min="3" max="3" width="10.7109375" style="240" customWidth="1"/>
    <col min="4" max="4" width="18" style="240" customWidth="1"/>
    <col min="5" max="5" width="21.140625" style="240" customWidth="1"/>
    <col min="6" max="6" width="10.140625" style="240" customWidth="1"/>
    <col min="7" max="7" width="17.85546875" style="240" customWidth="1"/>
    <col min="8" max="16384" width="9.140625" style="240"/>
  </cols>
  <sheetData>
    <row r="1" spans="1:10" ht="15.75" thickBot="1" x14ac:dyDescent="0.3">
      <c r="A1" s="344" t="s">
        <v>324</v>
      </c>
    </row>
    <row r="2" spans="1:10" x14ac:dyDescent="0.25">
      <c r="A2" s="484" t="s">
        <v>256</v>
      </c>
      <c r="B2" s="484"/>
      <c r="C2" s="484"/>
      <c r="D2" s="484"/>
      <c r="E2" s="484"/>
      <c r="F2" s="484"/>
      <c r="G2" s="484"/>
    </row>
    <row r="3" spans="1:10" s="241" customFormat="1" ht="17.100000000000001" customHeight="1" x14ac:dyDescent="0.25">
      <c r="A3" s="465" t="s">
        <v>257</v>
      </c>
      <c r="B3" s="465"/>
      <c r="C3" s="465"/>
      <c r="D3" s="465"/>
      <c r="E3" s="465"/>
      <c r="F3" s="465"/>
      <c r="G3" s="465"/>
    </row>
    <row r="4" spans="1:10" ht="60" customHeight="1" x14ac:dyDescent="0.25">
      <c r="A4" s="368" t="s">
        <v>35</v>
      </c>
      <c r="B4" s="368" t="s">
        <v>33</v>
      </c>
      <c r="C4" s="368" t="s">
        <v>42</v>
      </c>
      <c r="D4" s="368" t="s">
        <v>38</v>
      </c>
      <c r="E4" s="368" t="s">
        <v>39</v>
      </c>
      <c r="F4" s="368" t="s">
        <v>50</v>
      </c>
      <c r="G4" s="368" t="s">
        <v>151</v>
      </c>
    </row>
    <row r="5" spans="1:10" ht="12.75" customHeight="1" x14ac:dyDescent="0.25">
      <c r="A5" s="242">
        <v>1</v>
      </c>
      <c r="B5" s="242">
        <v>2</v>
      </c>
      <c r="C5" s="243">
        <v>3</v>
      </c>
      <c r="D5" s="242" t="s">
        <v>34</v>
      </c>
      <c r="E5" s="244" t="s">
        <v>44</v>
      </c>
      <c r="F5" s="244">
        <v>6</v>
      </c>
      <c r="G5" s="242" t="s">
        <v>51</v>
      </c>
    </row>
    <row r="6" spans="1:10" x14ac:dyDescent="0.25">
      <c r="A6" s="245" t="s">
        <v>152</v>
      </c>
      <c r="B6" s="209">
        <v>176.75</v>
      </c>
      <c r="C6" s="485">
        <v>2002</v>
      </c>
      <c r="D6" s="246">
        <f>ROUND(B6/C6,2)</f>
        <v>0.09</v>
      </c>
      <c r="E6" s="246">
        <f>ROUND(AVERAGE(D6:D6),2)</f>
        <v>0.09</v>
      </c>
      <c r="F6" s="209">
        <v>3</v>
      </c>
      <c r="G6" s="486">
        <f>ROUND(E6*F6+E7*F7,2)</f>
        <v>0.51</v>
      </c>
      <c r="J6" s="247"/>
    </row>
    <row r="7" spans="1:10" x14ac:dyDescent="0.25">
      <c r="A7" s="245" t="s">
        <v>37</v>
      </c>
      <c r="B7" s="209">
        <v>75.75</v>
      </c>
      <c r="C7" s="485"/>
      <c r="D7" s="246">
        <f>ROUND(B7/C6,2)</f>
        <v>0.04</v>
      </c>
      <c r="E7" s="246">
        <f>D7</f>
        <v>0.04</v>
      </c>
      <c r="F7" s="209">
        <v>6</v>
      </c>
      <c r="G7" s="486"/>
    </row>
    <row r="8" spans="1:10" x14ac:dyDescent="0.25">
      <c r="B8" s="248"/>
      <c r="C8" s="249"/>
      <c r="D8" s="250"/>
      <c r="E8" s="250"/>
      <c r="F8" s="250"/>
      <c r="G8" s="251"/>
    </row>
    <row r="9" spans="1:10" ht="30" customHeight="1" x14ac:dyDescent="0.25">
      <c r="A9" s="483" t="s">
        <v>153</v>
      </c>
      <c r="B9" s="483"/>
      <c r="C9" s="483"/>
      <c r="D9" s="483"/>
      <c r="E9" s="483"/>
      <c r="F9" s="483"/>
      <c r="G9" s="483"/>
    </row>
    <row r="10" spans="1:10" ht="33" customHeight="1" x14ac:dyDescent="0.25">
      <c r="A10" s="483" t="s">
        <v>80</v>
      </c>
      <c r="B10" s="483"/>
      <c r="C10" s="483"/>
      <c r="D10" s="483"/>
      <c r="E10" s="483"/>
      <c r="F10" s="483"/>
      <c r="G10" s="483"/>
    </row>
    <row r="11" spans="1:10" ht="47.25" customHeight="1" x14ac:dyDescent="0.25">
      <c r="A11" s="483" t="s">
        <v>258</v>
      </c>
      <c r="B11" s="483"/>
      <c r="C11" s="483"/>
      <c r="D11" s="483"/>
      <c r="E11" s="483"/>
      <c r="F11" s="483"/>
      <c r="G11" s="483"/>
    </row>
    <row r="12" spans="1:10" ht="18.75" customHeight="1" x14ac:dyDescent="0.25">
      <c r="A12" s="483" t="s">
        <v>155</v>
      </c>
      <c r="B12" s="483"/>
      <c r="C12" s="483"/>
      <c r="D12" s="483"/>
      <c r="E12" s="483"/>
      <c r="F12" s="483"/>
      <c r="G12" s="483"/>
    </row>
  </sheetData>
  <mergeCells count="8">
    <mergeCell ref="A11:G11"/>
    <mergeCell ref="A12:G12"/>
    <mergeCell ref="A2:G2"/>
    <mergeCell ref="A3:G3"/>
    <mergeCell ref="C6:C7"/>
    <mergeCell ref="G6:G7"/>
    <mergeCell ref="A9:G9"/>
    <mergeCell ref="A10:G10"/>
  </mergeCells>
  <hyperlinks>
    <hyperlink ref="A1" location="SATURS!A1" display="ATPAKAĻ uz SATURU" xr:uid="{99C431A1-0083-4FEC-A6E9-A098092A6B15}"/>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A927-3EB0-41D9-8596-771B512686A7}">
  <dimension ref="A1:B4"/>
  <sheetViews>
    <sheetView zoomScale="94" zoomScaleNormal="94" workbookViewId="0"/>
  </sheetViews>
  <sheetFormatPr defaultColWidth="9.140625" defaultRowHeight="12.75" x14ac:dyDescent="0.2"/>
  <cols>
    <col min="1" max="1" width="22.140625" style="222" customWidth="1"/>
    <col min="2" max="2" width="110" style="222" customWidth="1"/>
    <col min="3" max="16384" width="9.140625" style="222"/>
  </cols>
  <sheetData>
    <row r="1" spans="1:2" ht="13.5" thickBot="1" x14ac:dyDescent="0.25">
      <c r="A1" s="344" t="s">
        <v>324</v>
      </c>
    </row>
    <row r="2" spans="1:2" ht="12.75" customHeight="1" x14ac:dyDescent="0.2">
      <c r="A2" s="487" t="s">
        <v>259</v>
      </c>
      <c r="B2" s="487"/>
    </row>
    <row r="3" spans="1:2" ht="36.75" customHeight="1" x14ac:dyDescent="0.2">
      <c r="A3" s="488" t="s">
        <v>260</v>
      </c>
      <c r="B3" s="488"/>
    </row>
    <row r="4" spans="1:2" ht="142.5" customHeight="1" x14ac:dyDescent="0.2">
      <c r="A4" s="489" t="s">
        <v>261</v>
      </c>
      <c r="B4" s="490"/>
    </row>
  </sheetData>
  <mergeCells count="3">
    <mergeCell ref="A2:B2"/>
    <mergeCell ref="A3:B3"/>
    <mergeCell ref="A4:B4"/>
  </mergeCells>
  <hyperlinks>
    <hyperlink ref="A1" location="SATURS!A1" display="ATPAKAĻ uz SATURU" xr:uid="{B3EF64CB-5E64-481D-B484-67EF25981EAF}"/>
  </hyperlink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A000-6662-4CB2-8473-C9D791F11081}">
  <dimension ref="A1:E13"/>
  <sheetViews>
    <sheetView zoomScale="90" zoomScaleNormal="90" workbookViewId="0"/>
  </sheetViews>
  <sheetFormatPr defaultColWidth="9.140625" defaultRowHeight="15" x14ac:dyDescent="0.25"/>
  <cols>
    <col min="1" max="1" width="34.42578125" style="252" customWidth="1"/>
    <col min="2" max="3" width="9.140625" style="252"/>
    <col min="4" max="4" width="16.85546875" style="252" customWidth="1"/>
    <col min="5" max="5" width="45.28515625" style="252" customWidth="1"/>
    <col min="6" max="16384" width="9.140625" style="252"/>
  </cols>
  <sheetData>
    <row r="1" spans="1:5" ht="15.75" thickBot="1" x14ac:dyDescent="0.3">
      <c r="A1" s="344" t="s">
        <v>324</v>
      </c>
    </row>
    <row r="2" spans="1:5" ht="18.75" x14ac:dyDescent="0.25">
      <c r="A2" s="492" t="s">
        <v>262</v>
      </c>
      <c r="B2" s="492"/>
      <c r="C2" s="492"/>
      <c r="D2" s="492"/>
      <c r="E2" s="492"/>
    </row>
    <row r="3" spans="1:5" ht="18.75" x14ac:dyDescent="0.25">
      <c r="A3" s="492"/>
      <c r="B3" s="492"/>
      <c r="C3" s="492"/>
      <c r="D3" s="492"/>
      <c r="E3" s="492"/>
    </row>
    <row r="4" spans="1:5" x14ac:dyDescent="0.25">
      <c r="A4" s="493" t="s">
        <v>393</v>
      </c>
      <c r="B4" s="493"/>
      <c r="C4" s="493"/>
      <c r="D4" s="493"/>
      <c r="E4" s="493"/>
    </row>
    <row r="5" spans="1:5" ht="41.25" x14ac:dyDescent="0.25">
      <c r="A5" s="253" t="s">
        <v>263</v>
      </c>
      <c r="B5" s="253" t="s">
        <v>264</v>
      </c>
      <c r="C5" s="253" t="s">
        <v>265</v>
      </c>
      <c r="D5" s="254" t="s">
        <v>266</v>
      </c>
      <c r="E5" s="253" t="s">
        <v>267</v>
      </c>
    </row>
    <row r="6" spans="1:5" ht="75" x14ac:dyDescent="0.25">
      <c r="A6" s="255" t="s">
        <v>268</v>
      </c>
      <c r="B6" s="256">
        <f>'7_5_2_pielikums'!D19</f>
        <v>32.604812193794245</v>
      </c>
      <c r="C6" s="257">
        <v>1</v>
      </c>
      <c r="D6" s="258">
        <f>B6</f>
        <v>32.604812193794245</v>
      </c>
      <c r="E6" s="259" t="s">
        <v>269</v>
      </c>
    </row>
    <row r="7" spans="1:5" x14ac:dyDescent="0.25">
      <c r="A7" s="260" t="s">
        <v>270</v>
      </c>
      <c r="B7" s="261"/>
      <c r="C7" s="261"/>
      <c r="D7" s="258">
        <f>ROUND(D6*10%,2)</f>
        <v>3.26</v>
      </c>
      <c r="E7" s="262" t="s">
        <v>271</v>
      </c>
    </row>
    <row r="8" spans="1:5" x14ac:dyDescent="0.25">
      <c r="A8" s="494" t="s">
        <v>57</v>
      </c>
      <c r="B8" s="494"/>
      <c r="C8" s="494"/>
      <c r="D8" s="263">
        <f>D6+D7</f>
        <v>35.864812193794243</v>
      </c>
      <c r="E8" s="264" t="s">
        <v>272</v>
      </c>
    </row>
    <row r="9" spans="1:5" x14ac:dyDescent="0.25">
      <c r="A9" s="265"/>
      <c r="B9" s="265"/>
      <c r="C9" s="265"/>
      <c r="D9" s="266"/>
      <c r="E9" s="267"/>
    </row>
    <row r="10" spans="1:5" ht="117.75" customHeight="1" x14ac:dyDescent="0.25">
      <c r="A10" s="495" t="s">
        <v>273</v>
      </c>
      <c r="B10" s="495"/>
      <c r="C10" s="495"/>
      <c r="D10" s="495"/>
      <c r="E10" s="495"/>
    </row>
    <row r="11" spans="1:5" x14ac:dyDescent="0.25">
      <c r="A11" s="265"/>
      <c r="B11" s="265"/>
      <c r="C11" s="265"/>
      <c r="D11" s="266"/>
      <c r="E11" s="267"/>
    </row>
    <row r="12" spans="1:5" x14ac:dyDescent="0.25">
      <c r="A12" s="491"/>
      <c r="B12" s="491"/>
      <c r="C12" s="491"/>
      <c r="D12" s="491"/>
      <c r="E12" s="491"/>
    </row>
    <row r="13" spans="1:5" x14ac:dyDescent="0.25">
      <c r="A13" s="268"/>
      <c r="B13" s="268"/>
      <c r="C13" s="268"/>
      <c r="D13" s="268"/>
      <c r="E13" s="268"/>
    </row>
  </sheetData>
  <mergeCells count="6">
    <mergeCell ref="A12:E12"/>
    <mergeCell ref="A2:E2"/>
    <mergeCell ref="A3:E3"/>
    <mergeCell ref="A4:E4"/>
    <mergeCell ref="A8:C8"/>
    <mergeCell ref="A10:E10"/>
  </mergeCells>
  <hyperlinks>
    <hyperlink ref="A1" location="SATURS!A1" display="ATPAKAĻ uz SATURU" xr:uid="{AB8EDF7B-E955-44E3-A7C8-5D3BBD9AE058}"/>
  </hyperlinks>
  <pageMargins left="0.7" right="0.7"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A8A6-1CFC-49A9-9BE0-4647C2B9FE5A}">
  <dimension ref="A1:E20"/>
  <sheetViews>
    <sheetView zoomScale="93" zoomScaleNormal="93" workbookViewId="0">
      <selection activeCell="B1" sqref="B1"/>
    </sheetView>
  </sheetViews>
  <sheetFormatPr defaultColWidth="9.140625" defaultRowHeight="15" x14ac:dyDescent="0.25"/>
  <cols>
    <col min="1" max="1" width="71.140625" style="252" bestFit="1" customWidth="1"/>
    <col min="2" max="2" width="21.5703125" style="252" customWidth="1"/>
    <col min="3" max="3" width="21.28515625" style="252" customWidth="1"/>
    <col min="4" max="4" width="14.42578125" style="252" bestFit="1" customWidth="1"/>
    <col min="5" max="16384" width="9.140625" style="252"/>
  </cols>
  <sheetData>
    <row r="1" spans="1:5" ht="15.75" thickBot="1" x14ac:dyDescent="0.3">
      <c r="B1" s="344" t="s">
        <v>324</v>
      </c>
    </row>
    <row r="3" spans="1:5" ht="18.75" x14ac:dyDescent="0.25">
      <c r="A3" s="492" t="s">
        <v>274</v>
      </c>
      <c r="B3" s="492"/>
      <c r="C3" s="492"/>
      <c r="D3" s="492"/>
      <c r="E3" s="492"/>
    </row>
    <row r="4" spans="1:5" ht="18.75" x14ac:dyDescent="0.25">
      <c r="A4" s="269"/>
      <c r="B4" s="269"/>
      <c r="C4" s="269"/>
      <c r="D4" s="269"/>
      <c r="E4" s="269"/>
    </row>
    <row r="5" spans="1:5" ht="15.75" x14ac:dyDescent="0.25">
      <c r="A5" s="496" t="s">
        <v>275</v>
      </c>
      <c r="B5" s="496"/>
      <c r="C5" s="496"/>
      <c r="D5" s="496"/>
    </row>
    <row r="7" spans="1:5" ht="89.25" customHeight="1" x14ac:dyDescent="0.25">
      <c r="A7" s="270" t="s">
        <v>276</v>
      </c>
      <c r="B7" s="271" t="s">
        <v>277</v>
      </c>
      <c r="C7" s="271" t="s">
        <v>278</v>
      </c>
      <c r="D7" s="271" t="s">
        <v>279</v>
      </c>
    </row>
    <row r="8" spans="1:5" x14ac:dyDescent="0.25">
      <c r="A8" s="272" t="s">
        <v>280</v>
      </c>
      <c r="B8" s="273">
        <v>31686.5</v>
      </c>
      <c r="C8" s="273">
        <v>419</v>
      </c>
      <c r="D8" s="273">
        <f>B8/C8</f>
        <v>75.624105011933167</v>
      </c>
    </row>
    <row r="9" spans="1:5" x14ac:dyDescent="0.25">
      <c r="A9" s="272" t="s">
        <v>281</v>
      </c>
      <c r="B9" s="273">
        <v>70</v>
      </c>
      <c r="C9" s="273">
        <v>2</v>
      </c>
      <c r="D9" s="273">
        <f t="shared" ref="D9:D19" si="0">B9/C9</f>
        <v>35</v>
      </c>
    </row>
    <row r="10" spans="1:5" x14ac:dyDescent="0.25">
      <c r="A10" s="272" t="s">
        <v>282</v>
      </c>
      <c r="B10" s="273">
        <v>15205.88</v>
      </c>
      <c r="C10" s="273">
        <v>601</v>
      </c>
      <c r="D10" s="273">
        <f t="shared" si="0"/>
        <v>25.300965058236272</v>
      </c>
    </row>
    <row r="11" spans="1:5" x14ac:dyDescent="0.25">
      <c r="A11" s="272" t="s">
        <v>283</v>
      </c>
      <c r="B11" s="273">
        <v>2725</v>
      </c>
      <c r="C11" s="273">
        <v>103</v>
      </c>
      <c r="D11" s="273">
        <f t="shared" si="0"/>
        <v>26.456310679611651</v>
      </c>
    </row>
    <row r="12" spans="1:5" x14ac:dyDescent="0.25">
      <c r="A12" s="272" t="s">
        <v>284</v>
      </c>
      <c r="B12" s="273">
        <v>36770.22</v>
      </c>
      <c r="C12" s="273">
        <v>1276</v>
      </c>
      <c r="D12" s="273">
        <f t="shared" si="0"/>
        <v>28.816786833855801</v>
      </c>
    </row>
    <row r="13" spans="1:5" x14ac:dyDescent="0.25">
      <c r="A13" s="272" t="s">
        <v>285</v>
      </c>
      <c r="B13" s="273">
        <v>23530.48</v>
      </c>
      <c r="C13" s="273">
        <v>884</v>
      </c>
      <c r="D13" s="273">
        <f t="shared" si="0"/>
        <v>26.61819004524887</v>
      </c>
    </row>
    <row r="14" spans="1:5" x14ac:dyDescent="0.25">
      <c r="A14" s="272" t="s">
        <v>286</v>
      </c>
      <c r="B14" s="273">
        <v>1392</v>
      </c>
      <c r="C14" s="273">
        <v>63</v>
      </c>
      <c r="D14" s="273">
        <f t="shared" si="0"/>
        <v>22.095238095238095</v>
      </c>
    </row>
    <row r="15" spans="1:5" x14ac:dyDescent="0.25">
      <c r="A15" s="272" t="s">
        <v>287</v>
      </c>
      <c r="B15" s="273">
        <v>2110</v>
      </c>
      <c r="C15" s="273">
        <v>79</v>
      </c>
      <c r="D15" s="273">
        <f t="shared" si="0"/>
        <v>26.708860759493671</v>
      </c>
    </row>
    <row r="16" spans="1:5" x14ac:dyDescent="0.25">
      <c r="A16" s="272" t="s">
        <v>288</v>
      </c>
      <c r="B16" s="273">
        <v>1840</v>
      </c>
      <c r="C16" s="273">
        <v>92</v>
      </c>
      <c r="D16" s="273">
        <f t="shared" si="0"/>
        <v>20</v>
      </c>
    </row>
    <row r="17" spans="1:4" ht="15.75" x14ac:dyDescent="0.25">
      <c r="A17" s="274" t="s">
        <v>289</v>
      </c>
      <c r="B17" s="273">
        <v>3940</v>
      </c>
      <c r="C17" s="273">
        <v>129</v>
      </c>
      <c r="D17" s="273">
        <f t="shared" si="0"/>
        <v>30.54263565891473</v>
      </c>
    </row>
    <row r="18" spans="1:4" x14ac:dyDescent="0.25">
      <c r="A18" s="272" t="s">
        <v>290</v>
      </c>
      <c r="B18" s="273">
        <v>520</v>
      </c>
      <c r="C18" s="273">
        <v>26</v>
      </c>
      <c r="D18" s="273">
        <f t="shared" si="0"/>
        <v>20</v>
      </c>
    </row>
    <row r="19" spans="1:4" x14ac:dyDescent="0.25">
      <c r="A19" s="275" t="s">
        <v>121</v>
      </c>
      <c r="B19" s="276">
        <v>119790.08000000005</v>
      </c>
      <c r="C19" s="276">
        <v>3674</v>
      </c>
      <c r="D19" s="277">
        <f t="shared" si="0"/>
        <v>32.604812193794245</v>
      </c>
    </row>
    <row r="20" spans="1:4" ht="43.5" customHeight="1" x14ac:dyDescent="0.25">
      <c r="A20" s="497" t="s">
        <v>291</v>
      </c>
      <c r="B20" s="498"/>
      <c r="C20" s="498"/>
      <c r="D20" s="498"/>
    </row>
  </sheetData>
  <mergeCells count="3">
    <mergeCell ref="A3:E3"/>
    <mergeCell ref="A5:D5"/>
    <mergeCell ref="A20:D20"/>
  </mergeCells>
  <hyperlinks>
    <hyperlink ref="B1" location="SATURS!A1" display="ATPAKAĻ uz SATURU" xr:uid="{DF82A852-F8BD-4F29-AB3E-F227A3102D57}"/>
  </hyperlinks>
  <pageMargins left="0.7" right="0.7" top="0.75" bottom="0.75" header="0.3" footer="0.3"/>
  <pageSetup paperSize="9" scale="6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30CA-37B2-46E6-8036-C0331D6D6AB5}">
  <dimension ref="A1:N37"/>
  <sheetViews>
    <sheetView zoomScale="82" zoomScaleNormal="82" workbookViewId="0">
      <selection activeCell="B1" sqref="B1"/>
    </sheetView>
  </sheetViews>
  <sheetFormatPr defaultColWidth="9.140625" defaultRowHeight="15" x14ac:dyDescent="0.25"/>
  <cols>
    <col min="1" max="1" width="6.85546875" style="252" customWidth="1"/>
    <col min="2" max="2" width="63.7109375" style="252" customWidth="1"/>
    <col min="3" max="5" width="8.85546875" style="252" customWidth="1"/>
    <col min="6" max="6" width="3.5703125" style="252" customWidth="1"/>
    <col min="7" max="9" width="10.7109375" style="252" customWidth="1"/>
    <col min="10" max="10" width="2.28515625" style="252" customWidth="1"/>
    <col min="11" max="16384" width="9.140625" style="252"/>
  </cols>
  <sheetData>
    <row r="1" spans="1:14" ht="15.75" thickBot="1" x14ac:dyDescent="0.3">
      <c r="B1" s="344" t="s">
        <v>324</v>
      </c>
    </row>
    <row r="2" spans="1:14" ht="18.75" x14ac:dyDescent="0.3">
      <c r="L2" s="278" t="s">
        <v>292</v>
      </c>
    </row>
    <row r="5" spans="1:14" x14ac:dyDescent="0.25">
      <c r="A5" s="500" t="s">
        <v>394</v>
      </c>
      <c r="B5" s="500"/>
      <c r="C5" s="500"/>
      <c r="D5" s="500"/>
      <c r="E5" s="500"/>
      <c r="F5" s="500"/>
      <c r="G5" s="500"/>
      <c r="H5" s="500"/>
      <c r="I5" s="500"/>
      <c r="J5" s="500"/>
      <c r="K5" s="500"/>
      <c r="L5" s="500"/>
      <c r="M5" s="500"/>
      <c r="N5" s="500"/>
    </row>
    <row r="6" spans="1:14" x14ac:dyDescent="0.25">
      <c r="A6" s="501" t="s">
        <v>293</v>
      </c>
      <c r="B6" s="501"/>
      <c r="C6" s="501"/>
      <c r="D6" s="501"/>
      <c r="E6" s="501"/>
      <c r="F6" s="501"/>
      <c r="G6" s="501"/>
      <c r="H6" s="501"/>
      <c r="I6" s="501"/>
      <c r="J6" s="501"/>
      <c r="K6" s="501"/>
      <c r="L6" s="501"/>
      <c r="M6" s="501"/>
      <c r="N6" s="501"/>
    </row>
    <row r="7" spans="1:14" x14ac:dyDescent="0.25">
      <c r="A7" s="279"/>
      <c r="B7" s="279"/>
      <c r="C7" s="279"/>
      <c r="D7" s="279"/>
      <c r="E7" s="279"/>
      <c r="F7" s="279"/>
      <c r="G7" s="279"/>
      <c r="H7" s="279"/>
      <c r="I7" s="279"/>
      <c r="J7" s="279"/>
      <c r="K7" s="279"/>
      <c r="L7" s="279"/>
      <c r="M7" s="279"/>
      <c r="N7" s="279"/>
    </row>
    <row r="8" spans="1:14" x14ac:dyDescent="0.25">
      <c r="A8" s="502" t="s">
        <v>294</v>
      </c>
      <c r="B8" s="502"/>
      <c r="C8" s="502"/>
      <c r="D8" s="502"/>
      <c r="E8" s="502"/>
      <c r="F8" s="502"/>
      <c r="G8" s="502"/>
      <c r="H8" s="502"/>
      <c r="I8" s="502"/>
      <c r="J8" s="502"/>
      <c r="K8" s="502"/>
      <c r="L8" s="502"/>
      <c r="M8" s="502"/>
      <c r="N8" s="502"/>
    </row>
    <row r="9" spans="1:14" ht="15" customHeight="1" thickBot="1" x14ac:dyDescent="0.3">
      <c r="A9" s="280"/>
      <c r="B9" s="281"/>
      <c r="C9" s="281"/>
      <c r="D9" s="281"/>
      <c r="E9" s="281"/>
      <c r="F9" s="281"/>
      <c r="G9" s="503" t="s">
        <v>295</v>
      </c>
      <c r="H9" s="503"/>
      <c r="I9" s="503"/>
      <c r="J9" s="503"/>
      <c r="K9" s="503" t="s">
        <v>296</v>
      </c>
      <c r="L9" s="503"/>
      <c r="M9" s="503"/>
      <c r="N9" s="503"/>
    </row>
    <row r="10" spans="1:14" ht="42.75" x14ac:dyDescent="0.25">
      <c r="A10" s="282" t="s">
        <v>32</v>
      </c>
      <c r="B10" s="283" t="s">
        <v>10</v>
      </c>
      <c r="C10" s="284">
        <v>2017</v>
      </c>
      <c r="D10" s="285">
        <v>2018</v>
      </c>
      <c r="E10" s="285">
        <v>2019</v>
      </c>
      <c r="F10" s="286"/>
      <c r="G10" s="284">
        <v>2017</v>
      </c>
      <c r="H10" s="285">
        <v>2018</v>
      </c>
      <c r="I10" s="285">
        <v>2019</v>
      </c>
      <c r="J10" s="286"/>
      <c r="K10" s="284">
        <v>2017</v>
      </c>
      <c r="L10" s="285">
        <v>2018</v>
      </c>
      <c r="M10" s="287">
        <v>2019</v>
      </c>
      <c r="N10" s="288" t="s">
        <v>297</v>
      </c>
    </row>
    <row r="11" spans="1:14" ht="45" x14ac:dyDescent="0.25">
      <c r="A11" s="289">
        <v>1</v>
      </c>
      <c r="B11" s="290" t="s">
        <v>298</v>
      </c>
      <c r="C11" s="291">
        <v>66397</v>
      </c>
      <c r="D11" s="292">
        <v>36818</v>
      </c>
      <c r="E11" s="292">
        <v>34582</v>
      </c>
      <c r="F11" s="293"/>
      <c r="G11" s="294">
        <f>C11/$C$23</f>
        <v>125.75189393939394</v>
      </c>
      <c r="H11" s="295">
        <f>D11/D23</f>
        <v>76.704166666666666</v>
      </c>
      <c r="I11" s="295">
        <f>E11/E23</f>
        <v>83.129807692307693</v>
      </c>
      <c r="J11" s="293"/>
      <c r="K11" s="294">
        <f t="shared" ref="K11:K18" si="0">G11/$C$27</f>
        <v>20.575457080880074</v>
      </c>
      <c r="L11" s="295">
        <f>H11/D27</f>
        <v>12.639203570202541</v>
      </c>
      <c r="M11" s="296">
        <f>I11/E27</f>
        <v>11.47378898473789</v>
      </c>
      <c r="N11" s="297">
        <f>(K11+L11+M11)/3</f>
        <v>14.896149878606835</v>
      </c>
    </row>
    <row r="12" spans="1:14" ht="45" x14ac:dyDescent="0.25">
      <c r="A12" s="289">
        <v>2</v>
      </c>
      <c r="B12" s="298" t="s">
        <v>299</v>
      </c>
      <c r="C12" s="291">
        <v>9681</v>
      </c>
      <c r="D12" s="292">
        <v>8739</v>
      </c>
      <c r="E12" s="292">
        <v>9042</v>
      </c>
      <c r="F12" s="293"/>
      <c r="G12" s="294">
        <f>C12/$C$23</f>
        <v>18.335227272727273</v>
      </c>
      <c r="H12" s="295">
        <f>D12/D23</f>
        <v>18.206250000000001</v>
      </c>
      <c r="I12" s="295">
        <f>E12/E23</f>
        <v>21.735576923076923</v>
      </c>
      <c r="J12" s="293"/>
      <c r="K12" s="294">
        <f t="shared" si="0"/>
        <v>3.0000000000000004</v>
      </c>
      <c r="L12" s="295">
        <f>H12/D27</f>
        <v>3.0000000000000004</v>
      </c>
      <c r="M12" s="296">
        <f>I12/E27</f>
        <v>3</v>
      </c>
      <c r="N12" s="297">
        <f t="shared" ref="N12:N17" si="1">(K12+L12+M12)/3</f>
        <v>3</v>
      </c>
    </row>
    <row r="13" spans="1:14" x14ac:dyDescent="0.25">
      <c r="A13" s="289">
        <v>3</v>
      </c>
      <c r="B13" s="290" t="s">
        <v>300</v>
      </c>
      <c r="C13" s="291">
        <v>0</v>
      </c>
      <c r="D13" s="292">
        <v>0</v>
      </c>
      <c r="E13" s="292">
        <v>0</v>
      </c>
      <c r="F13" s="293"/>
      <c r="G13" s="294">
        <f>C13/$C$18</f>
        <v>0</v>
      </c>
      <c r="H13" s="295">
        <f>D13/D23</f>
        <v>0</v>
      </c>
      <c r="I13" s="295">
        <f>E13/E23</f>
        <v>0</v>
      </c>
      <c r="J13" s="293"/>
      <c r="K13" s="294">
        <f t="shared" si="0"/>
        <v>0</v>
      </c>
      <c r="L13" s="295">
        <f>H13/D27</f>
        <v>0</v>
      </c>
      <c r="M13" s="296">
        <f>I13/E27</f>
        <v>0</v>
      </c>
      <c r="N13" s="297">
        <f t="shared" si="1"/>
        <v>0</v>
      </c>
    </row>
    <row r="14" spans="1:14" x14ac:dyDescent="0.25">
      <c r="A14" s="289">
        <v>4</v>
      </c>
      <c r="B14" s="290" t="s">
        <v>301</v>
      </c>
      <c r="C14" s="291">
        <v>2242</v>
      </c>
      <c r="D14" s="292">
        <v>3312</v>
      </c>
      <c r="E14" s="292">
        <v>2159</v>
      </c>
      <c r="F14" s="293"/>
      <c r="G14" s="294">
        <f>C14/$C$23</f>
        <v>4.2462121212121211</v>
      </c>
      <c r="H14" s="295">
        <f>D14/D23</f>
        <v>6.9</v>
      </c>
      <c r="I14" s="295">
        <f>E14/E23</f>
        <v>5.1899038461538458</v>
      </c>
      <c r="J14" s="293"/>
      <c r="K14" s="294">
        <f t="shared" si="0"/>
        <v>0.6947629377130462</v>
      </c>
      <c r="L14" s="295">
        <f>H14/D27</f>
        <v>1.1369721936148303</v>
      </c>
      <c r="M14" s="296">
        <f>I14/$E$27</f>
        <v>0.7163238221632382</v>
      </c>
      <c r="N14" s="297">
        <f t="shared" si="1"/>
        <v>0.84935298449703822</v>
      </c>
    </row>
    <row r="15" spans="1:14" x14ac:dyDescent="0.25">
      <c r="A15" s="289">
        <v>5</v>
      </c>
      <c r="B15" s="290" t="s">
        <v>302</v>
      </c>
      <c r="C15" s="291">
        <v>5057</v>
      </c>
      <c r="D15" s="292">
        <v>23591</v>
      </c>
      <c r="E15" s="292">
        <v>35386</v>
      </c>
      <c r="F15" s="293"/>
      <c r="G15" s="294">
        <f>C15/$C$23</f>
        <v>9.5776515151515156</v>
      </c>
      <c r="H15" s="295">
        <f>D15/D23</f>
        <v>49.147916666666667</v>
      </c>
      <c r="I15" s="295">
        <f>E15/E23</f>
        <v>85.0625</v>
      </c>
      <c r="J15" s="293"/>
      <c r="K15" s="294">
        <f t="shared" si="0"/>
        <v>1.5670901766346454</v>
      </c>
      <c r="L15" s="295">
        <f>H15/D27</f>
        <v>8.0985238585650539</v>
      </c>
      <c r="M15" s="296">
        <f t="shared" ref="M15:M18" si="2">I15/$E$27</f>
        <v>11.740544127405441</v>
      </c>
      <c r="N15" s="297">
        <f t="shared" si="1"/>
        <v>7.1353860542017129</v>
      </c>
    </row>
    <row r="16" spans="1:14" x14ac:dyDescent="0.25">
      <c r="A16" s="299">
        <v>6</v>
      </c>
      <c r="B16" s="300" t="s">
        <v>303</v>
      </c>
      <c r="C16" s="301">
        <f>SUM(C11:C15)</f>
        <v>83377</v>
      </c>
      <c r="D16" s="301">
        <f t="shared" ref="D16:E16" si="3">SUM(D11:D15)</f>
        <v>72460</v>
      </c>
      <c r="E16" s="301">
        <f t="shared" si="3"/>
        <v>81169</v>
      </c>
      <c r="F16" s="302"/>
      <c r="G16" s="303">
        <f>C16/$C$23</f>
        <v>157.91098484848484</v>
      </c>
      <c r="H16" s="304">
        <f>D16/D23</f>
        <v>150.95833333333334</v>
      </c>
      <c r="I16" s="304">
        <f>E16/E23</f>
        <v>195.11778846153845</v>
      </c>
      <c r="J16" s="293"/>
      <c r="K16" s="294">
        <f t="shared" si="0"/>
        <v>25.837310195227765</v>
      </c>
      <c r="L16" s="295">
        <f>H16/D27</f>
        <v>24.874699622382426</v>
      </c>
      <c r="M16" s="296">
        <f t="shared" si="2"/>
        <v>26.930656934306569</v>
      </c>
      <c r="N16" s="297">
        <f t="shared" si="1"/>
        <v>25.880888917305587</v>
      </c>
    </row>
    <row r="17" spans="1:14" x14ac:dyDescent="0.25">
      <c r="A17" s="299">
        <v>7</v>
      </c>
      <c r="B17" s="305" t="s">
        <v>304</v>
      </c>
      <c r="C17" s="301">
        <f>C16*0.1</f>
        <v>8337.7000000000007</v>
      </c>
      <c r="D17" s="306">
        <v>7295</v>
      </c>
      <c r="E17" s="306">
        <v>8150</v>
      </c>
      <c r="F17" s="302"/>
      <c r="G17" s="303">
        <f>C17/$C$23</f>
        <v>15.791098484848487</v>
      </c>
      <c r="H17" s="304">
        <f>D17/D23</f>
        <v>15.197916666666666</v>
      </c>
      <c r="I17" s="304">
        <f>E17/E23</f>
        <v>19.591346153846153</v>
      </c>
      <c r="J17" s="293"/>
      <c r="K17" s="294">
        <f t="shared" si="0"/>
        <v>2.583731019522777</v>
      </c>
      <c r="L17" s="295">
        <f>H17/D27</f>
        <v>2.5042911088225197</v>
      </c>
      <c r="M17" s="296">
        <f t="shared" si="2"/>
        <v>2.7040477770404778</v>
      </c>
      <c r="N17" s="297">
        <f t="shared" si="1"/>
        <v>2.5973566351285915</v>
      </c>
    </row>
    <row r="18" spans="1:14" ht="15.75" thickBot="1" x14ac:dyDescent="0.3">
      <c r="A18" s="307">
        <v>8</v>
      </c>
      <c r="B18" s="308" t="s">
        <v>57</v>
      </c>
      <c r="C18" s="309">
        <f>C16+C17</f>
        <v>91714.7</v>
      </c>
      <c r="D18" s="309">
        <f t="shared" ref="D18:E18" si="4">D16+D17</f>
        <v>79755</v>
      </c>
      <c r="E18" s="309">
        <f t="shared" si="4"/>
        <v>89319</v>
      </c>
      <c r="F18" s="310"/>
      <c r="G18" s="311">
        <f>C18/$C$23</f>
        <v>173.70208333333332</v>
      </c>
      <c r="H18" s="312">
        <f>D18/D23</f>
        <v>166.15625</v>
      </c>
      <c r="I18" s="312">
        <f>E18/E23</f>
        <v>214.70913461538461</v>
      </c>
      <c r="J18" s="310"/>
      <c r="K18" s="311">
        <f t="shared" si="0"/>
        <v>28.421041214750542</v>
      </c>
      <c r="L18" s="312">
        <f>H18/D27</f>
        <v>27.378990731204944</v>
      </c>
      <c r="M18" s="313">
        <f t="shared" si="2"/>
        <v>29.634704711347048</v>
      </c>
      <c r="N18" s="314">
        <f>(K18+L18+M18)/3</f>
        <v>28.478245552434174</v>
      </c>
    </row>
    <row r="19" spans="1:14" x14ac:dyDescent="0.25">
      <c r="A19" s="281"/>
      <c r="B19" s="281"/>
      <c r="C19" s="281"/>
      <c r="D19" s="281"/>
      <c r="E19" s="281"/>
      <c r="F19" s="281"/>
      <c r="G19" s="315"/>
      <c r="H19" s="315"/>
      <c r="I19" s="315"/>
      <c r="J19" s="281"/>
      <c r="K19" s="315"/>
      <c r="L19" s="315"/>
      <c r="M19" s="315"/>
      <c r="N19" s="316"/>
    </row>
    <row r="20" spans="1:14" ht="21.75" customHeight="1" x14ac:dyDescent="0.25">
      <c r="A20" s="499" t="s">
        <v>305</v>
      </c>
      <c r="B20" s="499"/>
      <c r="C20" s="499"/>
      <c r="D20" s="317"/>
      <c r="E20" s="317"/>
      <c r="F20" s="281"/>
      <c r="G20" s="281"/>
      <c r="H20" s="281"/>
      <c r="I20" s="281"/>
      <c r="J20" s="281"/>
      <c r="K20" s="281"/>
      <c r="L20" s="281"/>
      <c r="M20" s="281"/>
      <c r="N20" s="281"/>
    </row>
    <row r="21" spans="1:14" ht="28.5" x14ac:dyDescent="0.25">
      <c r="A21" s="318" t="s">
        <v>32</v>
      </c>
      <c r="B21" s="318" t="s">
        <v>10</v>
      </c>
      <c r="C21" s="284">
        <v>2017</v>
      </c>
      <c r="D21" s="287">
        <v>2018</v>
      </c>
      <c r="E21" s="285">
        <v>2019</v>
      </c>
      <c r="F21" s="281"/>
      <c r="G21" s="281"/>
      <c r="H21" s="281"/>
      <c r="I21" s="281"/>
      <c r="J21" s="281"/>
      <c r="K21" s="281"/>
      <c r="L21" s="281"/>
      <c r="M21" s="281"/>
      <c r="N21" s="281"/>
    </row>
    <row r="22" spans="1:14" x14ac:dyDescent="0.25">
      <c r="A22" s="319">
        <v>1</v>
      </c>
      <c r="B22" s="320" t="s">
        <v>306</v>
      </c>
      <c r="C22" s="321">
        <v>33</v>
      </c>
      <c r="D22" s="322">
        <v>30</v>
      </c>
      <c r="E22" s="323">
        <v>26</v>
      </c>
      <c r="F22" s="281"/>
      <c r="G22" s="281"/>
      <c r="H22" s="281"/>
      <c r="I22" s="281"/>
      <c r="J22" s="281"/>
      <c r="K22" s="281"/>
      <c r="L22" s="281"/>
      <c r="M22" s="281"/>
      <c r="N22" s="281"/>
    </row>
    <row r="23" spans="1:14" x14ac:dyDescent="0.25">
      <c r="A23" s="319">
        <v>2</v>
      </c>
      <c r="B23" s="324" t="s">
        <v>307</v>
      </c>
      <c r="C23" s="321">
        <f>C22*16</f>
        <v>528</v>
      </c>
      <c r="D23" s="321">
        <f t="shared" ref="D23:E23" si="5">D22*16</f>
        <v>480</v>
      </c>
      <c r="E23" s="323">
        <f t="shared" si="5"/>
        <v>416</v>
      </c>
      <c r="F23" s="281"/>
      <c r="G23" s="281"/>
      <c r="H23" s="281"/>
      <c r="I23" s="281"/>
      <c r="J23" s="281"/>
      <c r="K23" s="281"/>
      <c r="L23" s="281"/>
      <c r="M23" s="281"/>
      <c r="N23" s="281"/>
    </row>
    <row r="24" spans="1:14" x14ac:dyDescent="0.25">
      <c r="A24" s="319">
        <v>3</v>
      </c>
      <c r="B24" s="320" t="s">
        <v>308</v>
      </c>
      <c r="C24" s="321">
        <v>237</v>
      </c>
      <c r="D24" s="322">
        <v>236</v>
      </c>
      <c r="E24" s="323">
        <v>234</v>
      </c>
      <c r="F24" s="281"/>
      <c r="G24" s="281"/>
      <c r="H24" s="281"/>
      <c r="I24" s="281"/>
      <c r="J24" s="281"/>
      <c r="K24" s="281"/>
      <c r="L24" s="281"/>
      <c r="M24" s="281"/>
      <c r="N24" s="281"/>
    </row>
    <row r="25" spans="1:14" x14ac:dyDescent="0.25">
      <c r="A25" s="319">
        <v>4</v>
      </c>
      <c r="B25" s="320" t="s">
        <v>309</v>
      </c>
      <c r="C25" s="321">
        <v>3227</v>
      </c>
      <c r="D25" s="322">
        <v>2913</v>
      </c>
      <c r="E25" s="323">
        <v>3014</v>
      </c>
      <c r="F25" s="281"/>
      <c r="G25" s="281"/>
      <c r="H25" s="281"/>
      <c r="I25" s="281"/>
      <c r="J25" s="281"/>
      <c r="K25" s="281"/>
      <c r="L25" s="281"/>
      <c r="M25" s="281"/>
      <c r="N25" s="281"/>
    </row>
    <row r="26" spans="1:14" x14ac:dyDescent="0.25">
      <c r="A26" s="319">
        <v>5</v>
      </c>
      <c r="B26" s="320" t="s">
        <v>310</v>
      </c>
      <c r="C26" s="325">
        <f>C24/C22</f>
        <v>7.1818181818181817</v>
      </c>
      <c r="D26" s="325">
        <f t="shared" ref="D26:E26" si="6">D24/D22</f>
        <v>7.8666666666666663</v>
      </c>
      <c r="E26" s="326">
        <f t="shared" si="6"/>
        <v>9</v>
      </c>
      <c r="F26" s="281"/>
      <c r="G26" s="281"/>
      <c r="H26" s="281"/>
      <c r="I26" s="281"/>
      <c r="J26" s="281"/>
      <c r="K26" s="281"/>
      <c r="L26" s="281"/>
      <c r="M26" s="281"/>
      <c r="N26" s="281"/>
    </row>
    <row r="27" spans="1:14" x14ac:dyDescent="0.25">
      <c r="A27" s="319">
        <v>6</v>
      </c>
      <c r="B27" s="320" t="s">
        <v>311</v>
      </c>
      <c r="C27" s="325">
        <f>C25/16/C22</f>
        <v>6.1117424242424239</v>
      </c>
      <c r="D27" s="325">
        <f t="shared" ref="D27:E27" si="7">D25/16/D22</f>
        <v>6.0687499999999996</v>
      </c>
      <c r="E27" s="326">
        <f t="shared" si="7"/>
        <v>7.2451923076923075</v>
      </c>
      <c r="F27" s="281"/>
      <c r="G27" s="281"/>
      <c r="H27" s="281"/>
      <c r="I27" s="281"/>
      <c r="J27" s="281"/>
      <c r="K27" s="281"/>
      <c r="L27" s="281"/>
      <c r="M27" s="281"/>
      <c r="N27" s="281"/>
    </row>
    <row r="28" spans="1:14" ht="51" customHeight="1" x14ac:dyDescent="0.25">
      <c r="A28" s="504" t="s">
        <v>312</v>
      </c>
      <c r="B28" s="504"/>
      <c r="C28" s="504"/>
      <c r="D28" s="327"/>
      <c r="E28" s="327"/>
      <c r="F28" s="281"/>
      <c r="G28" s="281"/>
      <c r="H28" s="281"/>
      <c r="I28" s="281"/>
      <c r="J28" s="281"/>
      <c r="K28" s="281"/>
      <c r="L28" s="281"/>
      <c r="M28" s="281"/>
      <c r="N28" s="281"/>
    </row>
    <row r="29" spans="1:14" x14ac:dyDescent="0.25">
      <c r="A29" s="281"/>
      <c r="B29" s="281"/>
      <c r="C29" s="281"/>
      <c r="D29" s="281"/>
      <c r="E29" s="281"/>
      <c r="F29" s="281"/>
      <c r="G29" s="281"/>
      <c r="H29" s="281"/>
      <c r="I29" s="281"/>
      <c r="J29" s="281"/>
      <c r="K29" s="281"/>
      <c r="L29" s="281"/>
      <c r="M29" s="281"/>
      <c r="N29" s="281"/>
    </row>
    <row r="30" spans="1:14" ht="33.75" customHeight="1" x14ac:dyDescent="0.25">
      <c r="A30" s="505" t="s">
        <v>313</v>
      </c>
      <c r="B30" s="505"/>
      <c r="C30" s="505"/>
      <c r="D30" s="505"/>
      <c r="E30" s="505"/>
      <c r="F30" s="281"/>
      <c r="G30" s="281"/>
      <c r="H30" s="281"/>
      <c r="I30" s="281"/>
      <c r="J30" s="281"/>
      <c r="K30" s="281"/>
      <c r="L30" s="281"/>
      <c r="M30" s="281"/>
      <c r="N30" s="281"/>
    </row>
    <row r="31" spans="1:14" ht="28.5" x14ac:dyDescent="0.25">
      <c r="A31" s="285" t="s">
        <v>32</v>
      </c>
      <c r="B31" s="328" t="s">
        <v>314</v>
      </c>
      <c r="C31" s="285">
        <v>2017</v>
      </c>
      <c r="D31" s="285">
        <v>2018</v>
      </c>
      <c r="E31" s="285">
        <v>2019</v>
      </c>
      <c r="F31" s="281"/>
      <c r="G31" s="281"/>
      <c r="H31" s="281"/>
      <c r="I31" s="281"/>
      <c r="J31" s="281"/>
      <c r="K31" s="281"/>
      <c r="L31" s="281"/>
      <c r="M31" s="281"/>
      <c r="N31" s="281"/>
    </row>
    <row r="32" spans="1:14" x14ac:dyDescent="0.25">
      <c r="A32" s="329">
        <v>1</v>
      </c>
      <c r="B32" s="330" t="s">
        <v>295</v>
      </c>
      <c r="C32" s="331">
        <f>C18/C23</f>
        <v>173.70208333333332</v>
      </c>
      <c r="D32" s="331">
        <f t="shared" ref="D32:E32" si="8">D18/D23</f>
        <v>166.15625</v>
      </c>
      <c r="E32" s="331">
        <f t="shared" si="8"/>
        <v>214.70913461538461</v>
      </c>
      <c r="F32" s="281"/>
      <c r="G32" s="281"/>
      <c r="H32" s="281"/>
      <c r="I32" s="281"/>
      <c r="J32" s="281"/>
      <c r="K32" s="281"/>
      <c r="L32" s="281"/>
      <c r="M32" s="281"/>
      <c r="N32" s="281"/>
    </row>
    <row r="33" spans="1:14" ht="15.75" thickBot="1" x14ac:dyDescent="0.3">
      <c r="A33" s="332">
        <v>2</v>
      </c>
      <c r="B33" s="333" t="s">
        <v>315</v>
      </c>
      <c r="C33" s="334">
        <f>C32/C27</f>
        <v>28.421041214750542</v>
      </c>
      <c r="D33" s="334">
        <f>D32/D27</f>
        <v>27.378990731204944</v>
      </c>
      <c r="E33" s="334">
        <f t="shared" ref="E33" si="9">E32/E27</f>
        <v>29.634704711347048</v>
      </c>
      <c r="F33" s="281"/>
      <c r="G33" s="281"/>
      <c r="H33" s="281"/>
      <c r="I33" s="281"/>
      <c r="J33" s="281"/>
      <c r="K33" s="281"/>
      <c r="L33" s="281"/>
      <c r="M33" s="281"/>
      <c r="N33" s="281"/>
    </row>
    <row r="34" spans="1:14" ht="30" thickBot="1" x14ac:dyDescent="0.3">
      <c r="A34" s="335">
        <v>3</v>
      </c>
      <c r="B34" s="336" t="s">
        <v>316</v>
      </c>
      <c r="C34" s="506">
        <f>ROUND((C33+D33+E33)/3,2)</f>
        <v>28.48</v>
      </c>
      <c r="D34" s="507"/>
      <c r="E34" s="508"/>
      <c r="F34" s="281"/>
      <c r="G34" s="281"/>
      <c r="H34" s="281"/>
      <c r="I34" s="281"/>
      <c r="J34" s="281"/>
      <c r="K34" s="281"/>
      <c r="L34" s="281"/>
      <c r="M34" s="281"/>
      <c r="N34" s="281"/>
    </row>
    <row r="35" spans="1:14" x14ac:dyDescent="0.25">
      <c r="A35" s="281"/>
      <c r="B35" s="281"/>
      <c r="C35" s="509"/>
      <c r="D35" s="509"/>
      <c r="E35" s="509"/>
      <c r="F35" s="281"/>
      <c r="G35" s="281"/>
      <c r="H35" s="281"/>
      <c r="I35" s="281"/>
      <c r="J35" s="281"/>
      <c r="K35" s="281"/>
      <c r="L35" s="281"/>
      <c r="M35" s="281"/>
      <c r="N35" s="281"/>
    </row>
    <row r="36" spans="1:14" ht="34.9" customHeight="1" x14ac:dyDescent="0.25">
      <c r="A36" s="510" t="s">
        <v>317</v>
      </c>
      <c r="B36" s="510"/>
      <c r="C36" s="510"/>
      <c r="D36" s="337"/>
      <c r="E36" s="337"/>
      <c r="F36" s="338"/>
      <c r="G36" s="281"/>
      <c r="H36" s="281"/>
      <c r="I36" s="281"/>
      <c r="J36" s="281"/>
      <c r="K36" s="281"/>
      <c r="L36" s="281"/>
      <c r="M36" s="281"/>
      <c r="N36" s="281"/>
    </row>
    <row r="37" spans="1:14" x14ac:dyDescent="0.25">
      <c r="A37" s="339"/>
      <c r="B37" s="281"/>
      <c r="C37" s="281"/>
      <c r="D37" s="281"/>
      <c r="E37" s="281"/>
      <c r="F37" s="281"/>
      <c r="G37" s="281"/>
      <c r="H37" s="281"/>
      <c r="I37" s="281"/>
      <c r="J37" s="281"/>
      <c r="K37" s="281"/>
      <c r="L37" s="281"/>
      <c r="M37" s="281"/>
      <c r="N37" s="281"/>
    </row>
  </sheetData>
  <mergeCells count="11">
    <mergeCell ref="A28:C28"/>
    <mergeCell ref="A30:E30"/>
    <mergeCell ref="C34:E34"/>
    <mergeCell ref="C35:E35"/>
    <mergeCell ref="A36:C36"/>
    <mergeCell ref="A20:C20"/>
    <mergeCell ref="A5:N5"/>
    <mergeCell ref="A6:N6"/>
    <mergeCell ref="A8:N8"/>
    <mergeCell ref="G9:J9"/>
    <mergeCell ref="K9:N9"/>
  </mergeCells>
  <hyperlinks>
    <hyperlink ref="B1" location="SATURS!A1" display="ATPAKAĻ uz SATURU" xr:uid="{F1AC007A-BB2C-42AA-9D76-B5EB1F0855BB}"/>
  </hyperlinks>
  <pageMargins left="0.70866141732283516" right="0.70866141732283516" top="0.74803149606299213" bottom="0.74803149606299213" header="0.31496062992126012" footer="0.31496062992126012"/>
  <pageSetup scale="69" fitToWidth="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F536-CB91-4009-8A3E-BB687DE56CED}">
  <sheetPr>
    <pageSetUpPr fitToPage="1"/>
  </sheetPr>
  <dimension ref="A1:G13"/>
  <sheetViews>
    <sheetView tabSelected="1" zoomScale="87" zoomScaleNormal="87" workbookViewId="0"/>
  </sheetViews>
  <sheetFormatPr defaultColWidth="9.140625" defaultRowHeight="15" x14ac:dyDescent="0.25"/>
  <cols>
    <col min="1" max="1" width="24.42578125" style="252" customWidth="1"/>
    <col min="2" max="3" width="9.140625" style="252"/>
    <col min="4" max="4" width="16.85546875" style="252" customWidth="1"/>
    <col min="5" max="5" width="30.42578125" style="252" customWidth="1"/>
    <col min="6" max="6" width="79.7109375" style="252" customWidth="1"/>
    <col min="7" max="7" width="65.28515625" style="252" customWidth="1"/>
    <col min="8" max="16384" width="9.140625" style="252"/>
  </cols>
  <sheetData>
    <row r="1" spans="1:7" ht="15.75" thickBot="1" x14ac:dyDescent="0.3">
      <c r="A1" s="344" t="s">
        <v>324</v>
      </c>
    </row>
    <row r="2" spans="1:7" ht="18.75" x14ac:dyDescent="0.25">
      <c r="A2" s="492" t="s">
        <v>318</v>
      </c>
      <c r="B2" s="492"/>
      <c r="C2" s="492"/>
      <c r="D2" s="492"/>
      <c r="E2" s="492"/>
      <c r="F2" s="492"/>
      <c r="G2" s="492"/>
    </row>
    <row r="3" spans="1:7" ht="18.75" x14ac:dyDescent="0.25">
      <c r="A3" s="492"/>
      <c r="B3" s="492"/>
      <c r="C3" s="492"/>
      <c r="D3" s="492"/>
      <c r="E3" s="492"/>
    </row>
    <row r="4" spans="1:7" x14ac:dyDescent="0.25">
      <c r="A4" s="493" t="s">
        <v>395</v>
      </c>
      <c r="B4" s="493"/>
      <c r="C4" s="493"/>
      <c r="D4" s="493"/>
      <c r="E4" s="493"/>
    </row>
    <row r="5" spans="1:7" ht="41.25" x14ac:dyDescent="0.25">
      <c r="A5" s="253" t="s">
        <v>263</v>
      </c>
      <c r="B5" s="253" t="s">
        <v>264</v>
      </c>
      <c r="C5" s="253" t="s">
        <v>265</v>
      </c>
      <c r="D5" s="254" t="s">
        <v>319</v>
      </c>
      <c r="E5" s="253" t="s">
        <v>320</v>
      </c>
      <c r="F5" s="253" t="s">
        <v>92</v>
      </c>
      <c r="G5" s="253" t="s">
        <v>93</v>
      </c>
    </row>
    <row r="6" spans="1:7" ht="267" customHeight="1" x14ac:dyDescent="0.25">
      <c r="A6" s="255" t="s">
        <v>321</v>
      </c>
      <c r="B6" s="256">
        <v>7.15</v>
      </c>
      <c r="C6" s="257">
        <v>1</v>
      </c>
      <c r="D6" s="258">
        <f>B6</f>
        <v>7.15</v>
      </c>
      <c r="E6" s="52" t="s">
        <v>337</v>
      </c>
      <c r="F6" s="369" t="s">
        <v>398</v>
      </c>
      <c r="G6" s="371" t="s">
        <v>388</v>
      </c>
    </row>
    <row r="7" spans="1:7" ht="161.25" customHeight="1" x14ac:dyDescent="0.25">
      <c r="A7" s="260" t="s">
        <v>322</v>
      </c>
      <c r="B7" s="261"/>
      <c r="C7" s="261"/>
      <c r="D7" s="258">
        <f>ROUND(D6*10%,2)</f>
        <v>0.72</v>
      </c>
      <c r="E7" s="340" t="s">
        <v>332</v>
      </c>
      <c r="F7" s="341" t="s">
        <v>323</v>
      </c>
      <c r="G7" s="370"/>
    </row>
    <row r="8" spans="1:7" ht="30" x14ac:dyDescent="0.25">
      <c r="A8" s="494" t="s">
        <v>57</v>
      </c>
      <c r="B8" s="494"/>
      <c r="C8" s="494"/>
      <c r="D8" s="263">
        <f>D6+D7</f>
        <v>7.87</v>
      </c>
      <c r="E8" s="264" t="s">
        <v>333</v>
      </c>
      <c r="F8" s="342"/>
      <c r="G8" s="342"/>
    </row>
    <row r="9" spans="1:7" x14ac:dyDescent="0.25">
      <c r="A9" s="265"/>
      <c r="B9" s="265"/>
      <c r="C9" s="265"/>
      <c r="D9" s="266"/>
      <c r="E9" s="267"/>
    </row>
    <row r="10" spans="1:7" ht="78" customHeight="1" x14ac:dyDescent="0.25">
      <c r="A10" s="343"/>
      <c r="B10" s="343"/>
      <c r="C10" s="343"/>
      <c r="D10" s="343"/>
      <c r="E10" s="343"/>
      <c r="F10" s="343"/>
    </row>
    <row r="11" spans="1:7" x14ac:dyDescent="0.25">
      <c r="A11" s="265"/>
      <c r="B11" s="265"/>
      <c r="C11" s="265"/>
      <c r="D11" s="266"/>
      <c r="E11" s="267"/>
    </row>
    <row r="12" spans="1:7" x14ac:dyDescent="0.25">
      <c r="A12" s="491"/>
      <c r="B12" s="491"/>
      <c r="C12" s="491"/>
      <c r="D12" s="491"/>
      <c r="E12" s="491"/>
    </row>
    <row r="13" spans="1:7" x14ac:dyDescent="0.25">
      <c r="A13" s="268"/>
      <c r="B13" s="268"/>
      <c r="C13" s="268"/>
      <c r="D13" s="268"/>
      <c r="E13" s="268"/>
    </row>
  </sheetData>
  <mergeCells count="5">
    <mergeCell ref="A3:E3"/>
    <mergeCell ref="A4:E4"/>
    <mergeCell ref="A8:C8"/>
    <mergeCell ref="A12:E12"/>
    <mergeCell ref="A2:G2"/>
  </mergeCells>
  <hyperlinks>
    <hyperlink ref="A1" location="SATURS!A1" display="ATPAKAĻ uz SATURU" xr:uid="{D7BEBF8C-8A38-452E-8B2B-AC9994B41792}"/>
  </hyperlinks>
  <pageMargins left="0.70866141732283472" right="0.70866141732283472" top="0.74803149606299213" bottom="0.7480314960629921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E28D-15C3-4564-9A35-BC90914EA55B}">
  <sheetPr>
    <pageSetUpPr fitToPage="1"/>
  </sheetPr>
  <dimension ref="A1:AG29"/>
  <sheetViews>
    <sheetView topLeftCell="O1" zoomScale="80" zoomScaleNormal="80" workbookViewId="0">
      <selection activeCell="L23" sqref="L23"/>
    </sheetView>
  </sheetViews>
  <sheetFormatPr defaultColWidth="9.140625" defaultRowHeight="15" x14ac:dyDescent="0.2"/>
  <cols>
    <col min="1" max="1" width="4.42578125" style="26" customWidth="1"/>
    <col min="2" max="2" width="23.7109375" style="26" customWidth="1"/>
    <col min="3" max="3" width="9.42578125" style="26" customWidth="1"/>
    <col min="4" max="4" width="8.140625" style="26" customWidth="1"/>
    <col min="5" max="5" width="9.7109375" style="26" customWidth="1"/>
    <col min="6" max="6" width="8.140625" style="26" customWidth="1"/>
    <col min="7" max="7" width="9.7109375" style="26" customWidth="1"/>
    <col min="8" max="8" width="8" style="26" customWidth="1"/>
    <col min="9" max="9" width="10.42578125" style="26" customWidth="1"/>
    <col min="10" max="10" width="10.85546875" style="26" customWidth="1"/>
    <col min="11" max="11" width="12" style="26" customWidth="1"/>
    <col min="12" max="12" width="9.5703125" style="26" customWidth="1"/>
    <col min="13" max="13" width="9.28515625" style="26" customWidth="1"/>
    <col min="14" max="14" width="9.7109375" style="26" customWidth="1"/>
    <col min="15" max="16" width="9" style="26" customWidth="1"/>
    <col min="17" max="17" width="9.42578125" style="26" customWidth="1"/>
    <col min="18" max="18" width="10" style="26" customWidth="1"/>
    <col min="19" max="19" width="11.28515625" style="26" customWidth="1"/>
    <col min="20" max="20" width="12" style="26" customWidth="1"/>
    <col min="21" max="21" width="9.42578125" style="26" customWidth="1"/>
    <col min="22" max="23" width="8.7109375" style="26" customWidth="1"/>
    <col min="24" max="24" width="7.85546875" style="26" customWidth="1"/>
    <col min="25" max="25" width="9.5703125" style="26" customWidth="1"/>
    <col min="26" max="26" width="8.7109375" style="26" customWidth="1"/>
    <col min="27" max="27" width="9.7109375" style="26" customWidth="1"/>
    <col min="28" max="28" width="9.5703125" style="26" customWidth="1"/>
    <col min="29" max="29" width="10.42578125" style="26" customWidth="1"/>
    <col min="30" max="31" width="12" style="26" customWidth="1"/>
    <col min="32" max="32" width="9.140625" style="26"/>
    <col min="33" max="33" width="9.140625" style="26" customWidth="1"/>
    <col min="34" max="16384" width="9.140625" style="26"/>
  </cols>
  <sheetData>
    <row r="1" spans="1:33" ht="15.75" thickBot="1" x14ac:dyDescent="0.25">
      <c r="B1" s="344" t="s">
        <v>324</v>
      </c>
    </row>
    <row r="2" spans="1:33" x14ac:dyDescent="0.2">
      <c r="A2" s="390" t="s">
        <v>73</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row>
    <row r="3" spans="1:33" s="4" customFormat="1" ht="17.100000000000001" customHeight="1" thickBot="1" x14ac:dyDescent="0.25">
      <c r="A3" s="391" t="s">
        <v>56</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row>
    <row r="4" spans="1:33" ht="30.75" customHeight="1" x14ac:dyDescent="0.2">
      <c r="A4" s="392" t="s">
        <v>32</v>
      </c>
      <c r="B4" s="394" t="s">
        <v>10</v>
      </c>
      <c r="C4" s="396" t="s">
        <v>65</v>
      </c>
      <c r="D4" s="397"/>
      <c r="E4" s="397"/>
      <c r="F4" s="397"/>
      <c r="G4" s="397"/>
      <c r="H4" s="397"/>
      <c r="I4" s="397"/>
      <c r="J4" s="397"/>
      <c r="K4" s="398"/>
      <c r="L4" s="399" t="s">
        <v>66</v>
      </c>
      <c r="M4" s="399"/>
      <c r="N4" s="399"/>
      <c r="O4" s="399"/>
      <c r="P4" s="399"/>
      <c r="Q4" s="399"/>
      <c r="R4" s="399"/>
      <c r="S4" s="399"/>
      <c r="T4" s="400"/>
      <c r="U4" s="396" t="s">
        <v>67</v>
      </c>
      <c r="V4" s="401"/>
      <c r="W4" s="401"/>
      <c r="X4" s="401"/>
      <c r="Y4" s="401"/>
      <c r="Z4" s="401"/>
      <c r="AA4" s="401"/>
      <c r="AB4" s="401"/>
      <c r="AC4" s="401"/>
      <c r="AD4" s="402"/>
      <c r="AE4" s="387" t="s">
        <v>30</v>
      </c>
    </row>
    <row r="5" spans="1:33" ht="105" customHeight="1" x14ac:dyDescent="0.2">
      <c r="A5" s="393"/>
      <c r="B5" s="395"/>
      <c r="C5" s="63" t="s">
        <v>11</v>
      </c>
      <c r="D5" s="63" t="s">
        <v>12</v>
      </c>
      <c r="E5" s="63" t="s">
        <v>13</v>
      </c>
      <c r="F5" s="63" t="s">
        <v>14</v>
      </c>
      <c r="G5" s="63" t="s">
        <v>15</v>
      </c>
      <c r="H5" s="63" t="s">
        <v>16</v>
      </c>
      <c r="I5" s="63" t="s">
        <v>17</v>
      </c>
      <c r="J5" s="63" t="s">
        <v>18</v>
      </c>
      <c r="K5" s="96" t="s">
        <v>68</v>
      </c>
      <c r="L5" s="63" t="s">
        <v>11</v>
      </c>
      <c r="M5" s="63" t="s">
        <v>12</v>
      </c>
      <c r="N5" s="63" t="s">
        <v>13</v>
      </c>
      <c r="O5" s="63" t="s">
        <v>14</v>
      </c>
      <c r="P5" s="63" t="s">
        <v>15</v>
      </c>
      <c r="Q5" s="63" t="s">
        <v>16</v>
      </c>
      <c r="R5" s="63" t="s">
        <v>17</v>
      </c>
      <c r="S5" s="63" t="s">
        <v>18</v>
      </c>
      <c r="T5" s="96" t="s">
        <v>70</v>
      </c>
      <c r="U5" s="63" t="s">
        <v>11</v>
      </c>
      <c r="V5" s="63" t="s">
        <v>12</v>
      </c>
      <c r="W5" s="63" t="s">
        <v>13</v>
      </c>
      <c r="X5" s="63" t="s">
        <v>14</v>
      </c>
      <c r="Y5" s="63" t="s">
        <v>15</v>
      </c>
      <c r="Z5" s="63" t="s">
        <v>16</v>
      </c>
      <c r="AA5" s="63" t="s">
        <v>17</v>
      </c>
      <c r="AB5" s="63" t="s">
        <v>18</v>
      </c>
      <c r="AC5" s="63" t="s">
        <v>19</v>
      </c>
      <c r="AD5" s="96" t="s">
        <v>69</v>
      </c>
      <c r="AE5" s="388"/>
      <c r="AG5" s="27"/>
    </row>
    <row r="6" spans="1:33" x14ac:dyDescent="0.2">
      <c r="A6" s="9">
        <v>1</v>
      </c>
      <c r="B6" s="28" t="s">
        <v>53</v>
      </c>
      <c r="C6" s="84">
        <v>3.63</v>
      </c>
      <c r="D6" s="84">
        <v>2.88</v>
      </c>
      <c r="E6" s="84">
        <v>3.68</v>
      </c>
      <c r="F6" s="84">
        <v>3.68</v>
      </c>
      <c r="G6" s="84">
        <v>3.68</v>
      </c>
      <c r="H6" s="84">
        <v>0</v>
      </c>
      <c r="I6" s="84">
        <v>2.99</v>
      </c>
      <c r="J6" s="84">
        <v>5.97</v>
      </c>
      <c r="K6" s="75">
        <f>AVERAGE(C6:J6)</f>
        <v>3.3137499999999998</v>
      </c>
      <c r="L6" s="89">
        <v>4.08</v>
      </c>
      <c r="M6" s="84">
        <v>3.34</v>
      </c>
      <c r="N6" s="84">
        <v>4.0999999999999996</v>
      </c>
      <c r="O6" s="84">
        <v>4.16</v>
      </c>
      <c r="P6" s="84">
        <v>3.96</v>
      </c>
      <c r="Q6" s="84">
        <v>4.16</v>
      </c>
      <c r="R6" s="84">
        <v>3.38</v>
      </c>
      <c r="S6" s="84">
        <v>6.37</v>
      </c>
      <c r="T6" s="75">
        <f>ROUND(AVERAGE(L6:S6),2)</f>
        <v>4.1900000000000004</v>
      </c>
      <c r="U6" s="89">
        <v>4.08</v>
      </c>
      <c r="V6" s="85">
        <v>3.51</v>
      </c>
      <c r="W6" s="85">
        <v>4.0999999999999996</v>
      </c>
      <c r="X6" s="85">
        <v>4.1500000000000004</v>
      </c>
      <c r="Y6" s="85">
        <v>3.96</v>
      </c>
      <c r="Z6" s="85">
        <v>4.16</v>
      </c>
      <c r="AA6" s="85">
        <v>3.5</v>
      </c>
      <c r="AB6" s="85">
        <v>6.37</v>
      </c>
      <c r="AC6" s="85">
        <v>5.56</v>
      </c>
      <c r="AD6" s="76">
        <f>ROUND(AVERAGE(U6:AC6),2)</f>
        <v>4.38</v>
      </c>
      <c r="AE6" s="77">
        <f t="shared" ref="AE6:AE17" si="0">ROUND((K6+T6+AD6)/3,2)</f>
        <v>3.96</v>
      </c>
      <c r="AG6" s="34"/>
    </row>
    <row r="7" spans="1:33" ht="30" x14ac:dyDescent="0.2">
      <c r="A7" s="9">
        <v>2</v>
      </c>
      <c r="B7" s="78" t="s">
        <v>6</v>
      </c>
      <c r="C7" s="36">
        <v>0.01</v>
      </c>
      <c r="D7" s="36">
        <v>0.05</v>
      </c>
      <c r="E7" s="36">
        <v>0.01</v>
      </c>
      <c r="F7" s="37">
        <v>0.03</v>
      </c>
      <c r="G7" s="37">
        <v>0.01</v>
      </c>
      <c r="H7" s="84">
        <v>0</v>
      </c>
      <c r="I7" s="36">
        <v>0.01</v>
      </c>
      <c r="J7" s="36">
        <v>0.03</v>
      </c>
      <c r="K7" s="31">
        <f>AVERAGE(C7:J7)</f>
        <v>1.8749999999999999E-2</v>
      </c>
      <c r="L7" s="87">
        <v>0.01</v>
      </c>
      <c r="M7" s="36">
        <v>0.04</v>
      </c>
      <c r="N7" s="36">
        <v>0.01</v>
      </c>
      <c r="O7" s="36">
        <v>0.03</v>
      </c>
      <c r="P7" s="36">
        <v>0.01</v>
      </c>
      <c r="Q7" s="36">
        <v>0.01</v>
      </c>
      <c r="R7" s="36">
        <v>0.01</v>
      </c>
      <c r="S7" s="36">
        <v>0.03</v>
      </c>
      <c r="T7" s="31">
        <f>ROUND(AVERAGE(L7:S7),2)</f>
        <v>0.02</v>
      </c>
      <c r="U7" s="87">
        <v>0.01</v>
      </c>
      <c r="V7" s="36">
        <v>0.04</v>
      </c>
      <c r="W7" s="36">
        <v>0.01</v>
      </c>
      <c r="X7" s="36">
        <v>0.02</v>
      </c>
      <c r="Y7" s="36">
        <v>0.01</v>
      </c>
      <c r="Z7" s="36">
        <v>0.01</v>
      </c>
      <c r="AA7" s="36">
        <v>0.01</v>
      </c>
      <c r="AB7" s="36">
        <v>0.03</v>
      </c>
      <c r="AC7" s="36">
        <v>7.0000000000000007E-2</v>
      </c>
      <c r="AD7" s="33">
        <f>ROUND(AVERAGE(U7:AC7),2)</f>
        <v>0.02</v>
      </c>
      <c r="AE7" s="35">
        <f t="shared" si="0"/>
        <v>0.02</v>
      </c>
      <c r="AG7" s="80"/>
    </row>
    <row r="8" spans="1:33" x14ac:dyDescent="0.2">
      <c r="A8" s="9">
        <v>3</v>
      </c>
      <c r="B8" s="11" t="s">
        <v>54</v>
      </c>
      <c r="C8" s="85">
        <v>0</v>
      </c>
      <c r="D8" s="85">
        <v>0</v>
      </c>
      <c r="E8" s="85">
        <v>0</v>
      </c>
      <c r="F8" s="85">
        <v>0.09</v>
      </c>
      <c r="G8" s="85">
        <v>0</v>
      </c>
      <c r="H8" s="84">
        <v>0</v>
      </c>
      <c r="I8" s="85">
        <v>0</v>
      </c>
      <c r="J8" s="85">
        <v>0</v>
      </c>
      <c r="K8" s="108">
        <v>0</v>
      </c>
      <c r="L8" s="109">
        <v>0</v>
      </c>
      <c r="M8" s="85">
        <v>0</v>
      </c>
      <c r="N8" s="85">
        <v>0</v>
      </c>
      <c r="O8" s="85">
        <v>0</v>
      </c>
      <c r="P8" s="85">
        <v>0</v>
      </c>
      <c r="Q8" s="85">
        <v>0</v>
      </c>
      <c r="R8" s="85">
        <v>0</v>
      </c>
      <c r="S8" s="85">
        <v>0</v>
      </c>
      <c r="T8" s="108">
        <v>0</v>
      </c>
      <c r="U8" s="109">
        <v>0</v>
      </c>
      <c r="V8" s="85">
        <v>0</v>
      </c>
      <c r="W8" s="85">
        <v>0</v>
      </c>
      <c r="X8" s="85">
        <v>0</v>
      </c>
      <c r="Y8" s="85">
        <v>0</v>
      </c>
      <c r="Z8" s="85">
        <v>0</v>
      </c>
      <c r="AA8" s="85">
        <v>0</v>
      </c>
      <c r="AB8" s="85">
        <v>0</v>
      </c>
      <c r="AC8" s="85">
        <v>0</v>
      </c>
      <c r="AD8" s="110">
        <v>0</v>
      </c>
      <c r="AE8" s="348">
        <f t="shared" si="0"/>
        <v>0</v>
      </c>
      <c r="AG8" s="80"/>
    </row>
    <row r="9" spans="1:33" ht="30" x14ac:dyDescent="0.2">
      <c r="A9" s="9">
        <v>4</v>
      </c>
      <c r="B9" s="11" t="s">
        <v>3</v>
      </c>
      <c r="C9" s="36">
        <v>0.03</v>
      </c>
      <c r="D9" s="36">
        <v>0.15</v>
      </c>
      <c r="E9" s="36">
        <v>0.03</v>
      </c>
      <c r="F9" s="37">
        <v>0</v>
      </c>
      <c r="G9" s="37">
        <v>0.08</v>
      </c>
      <c r="H9" s="84">
        <v>0</v>
      </c>
      <c r="I9" s="36">
        <v>0</v>
      </c>
      <c r="J9" s="36">
        <v>0.05</v>
      </c>
      <c r="K9" s="97">
        <f t="shared" ref="K9:K17" si="1">AVERAGE(C9:J9)</f>
        <v>4.2499999999999996E-2</v>
      </c>
      <c r="L9" s="87">
        <v>0.03</v>
      </c>
      <c r="M9" s="36">
        <v>0.12</v>
      </c>
      <c r="N9" s="36">
        <v>0.03</v>
      </c>
      <c r="O9" s="36">
        <v>0.06</v>
      </c>
      <c r="P9" s="36">
        <v>0.15</v>
      </c>
      <c r="Q9" s="36">
        <v>7.0000000000000007E-2</v>
      </c>
      <c r="R9" s="36">
        <v>0</v>
      </c>
      <c r="S9" s="36">
        <v>0.05</v>
      </c>
      <c r="T9" s="97">
        <f t="shared" ref="T9:T17" si="2">ROUND(AVERAGE(L9:S9),2)</f>
        <v>0.06</v>
      </c>
      <c r="U9" s="87">
        <v>0.03</v>
      </c>
      <c r="V9" s="36">
        <v>0.14000000000000001</v>
      </c>
      <c r="W9" s="36">
        <v>0.03</v>
      </c>
      <c r="X9" s="36">
        <v>7.0000000000000007E-2</v>
      </c>
      <c r="Y9" s="36">
        <v>0.15</v>
      </c>
      <c r="Z9" s="36">
        <v>7.0000000000000007E-2</v>
      </c>
      <c r="AA9" s="36">
        <v>0</v>
      </c>
      <c r="AB9" s="36">
        <v>0.05</v>
      </c>
      <c r="AC9" s="36">
        <v>0.04</v>
      </c>
      <c r="AD9" s="98">
        <f t="shared" ref="AD9:AD17" si="3">ROUND(AVERAGE(U9:AC9),2)</f>
        <v>0.06</v>
      </c>
      <c r="AE9" s="99">
        <f t="shared" si="0"/>
        <v>0.05</v>
      </c>
      <c r="AG9" s="80"/>
    </row>
    <row r="10" spans="1:33" ht="30" x14ac:dyDescent="0.2">
      <c r="A10" s="9">
        <v>5</v>
      </c>
      <c r="B10" s="11" t="s">
        <v>55</v>
      </c>
      <c r="C10" s="85">
        <v>0</v>
      </c>
      <c r="D10" s="85">
        <v>0</v>
      </c>
      <c r="E10" s="85">
        <v>0</v>
      </c>
      <c r="F10" s="84">
        <v>0.02</v>
      </c>
      <c r="G10" s="84">
        <v>0</v>
      </c>
      <c r="H10" s="84">
        <v>0</v>
      </c>
      <c r="I10" s="85">
        <v>0</v>
      </c>
      <c r="J10" s="85">
        <v>0</v>
      </c>
      <c r="K10" s="108">
        <f t="shared" si="1"/>
        <v>2.5000000000000001E-3</v>
      </c>
      <c r="L10" s="109">
        <v>0</v>
      </c>
      <c r="M10" s="85">
        <v>0</v>
      </c>
      <c r="N10" s="85">
        <v>0</v>
      </c>
      <c r="O10" s="85">
        <v>0</v>
      </c>
      <c r="P10" s="85">
        <v>0</v>
      </c>
      <c r="Q10" s="85">
        <v>0</v>
      </c>
      <c r="R10" s="85">
        <v>0</v>
      </c>
      <c r="S10" s="85">
        <v>0</v>
      </c>
      <c r="T10" s="108">
        <f t="shared" si="2"/>
        <v>0</v>
      </c>
      <c r="U10" s="109">
        <v>0</v>
      </c>
      <c r="V10" s="85">
        <v>0</v>
      </c>
      <c r="W10" s="85">
        <v>0</v>
      </c>
      <c r="X10" s="85">
        <v>0</v>
      </c>
      <c r="Y10" s="85">
        <v>0</v>
      </c>
      <c r="Z10" s="85">
        <v>0</v>
      </c>
      <c r="AA10" s="85">
        <v>0</v>
      </c>
      <c r="AB10" s="85">
        <v>0</v>
      </c>
      <c r="AC10" s="85">
        <v>0</v>
      </c>
      <c r="AD10" s="110">
        <f t="shared" si="3"/>
        <v>0</v>
      </c>
      <c r="AE10" s="348">
        <f t="shared" si="0"/>
        <v>0</v>
      </c>
      <c r="AG10" s="80"/>
    </row>
    <row r="11" spans="1:33" ht="30" x14ac:dyDescent="0.2">
      <c r="A11" s="9">
        <v>6</v>
      </c>
      <c r="B11" s="11" t="s">
        <v>25</v>
      </c>
      <c r="C11" s="36">
        <v>0</v>
      </c>
      <c r="D11" s="36">
        <v>0.06</v>
      </c>
      <c r="E11" s="36">
        <v>0.01</v>
      </c>
      <c r="F11" s="37">
        <v>0.08</v>
      </c>
      <c r="G11" s="37">
        <v>0.01</v>
      </c>
      <c r="H11" s="84">
        <v>0</v>
      </c>
      <c r="I11" s="36">
        <v>0</v>
      </c>
      <c r="J11" s="36">
        <v>0.01</v>
      </c>
      <c r="K11" s="97">
        <f t="shared" si="1"/>
        <v>2.1250000000000002E-2</v>
      </c>
      <c r="L11" s="87">
        <v>0</v>
      </c>
      <c r="M11" s="36">
        <v>0.02</v>
      </c>
      <c r="N11" s="36">
        <v>0.01</v>
      </c>
      <c r="O11" s="36">
        <v>0.02</v>
      </c>
      <c r="P11" s="36">
        <v>0.02</v>
      </c>
      <c r="Q11" s="36">
        <v>0.02</v>
      </c>
      <c r="R11" s="36">
        <v>0</v>
      </c>
      <c r="S11" s="36">
        <v>0.01</v>
      </c>
      <c r="T11" s="97">
        <f t="shared" si="2"/>
        <v>0.01</v>
      </c>
      <c r="U11" s="87">
        <v>0</v>
      </c>
      <c r="V11" s="36">
        <v>0.02</v>
      </c>
      <c r="W11" s="36">
        <v>0.01</v>
      </c>
      <c r="X11" s="36">
        <v>0.03</v>
      </c>
      <c r="Y11" s="36">
        <v>0.02</v>
      </c>
      <c r="Z11" s="36">
        <v>0.02</v>
      </c>
      <c r="AA11" s="36">
        <v>0</v>
      </c>
      <c r="AB11" s="36">
        <v>0.01</v>
      </c>
      <c r="AC11" s="36">
        <v>0.03</v>
      </c>
      <c r="AD11" s="98">
        <f t="shared" si="3"/>
        <v>0.02</v>
      </c>
      <c r="AE11" s="99">
        <f t="shared" si="0"/>
        <v>0.02</v>
      </c>
      <c r="AG11" s="80"/>
    </row>
    <row r="12" spans="1:33" ht="45" x14ac:dyDescent="0.2">
      <c r="A12" s="9">
        <v>7</v>
      </c>
      <c r="B12" s="11" t="s">
        <v>20</v>
      </c>
      <c r="C12" s="36">
        <v>0.13</v>
      </c>
      <c r="D12" s="36">
        <v>0.1</v>
      </c>
      <c r="E12" s="36">
        <v>0.15</v>
      </c>
      <c r="F12" s="37">
        <v>0.02</v>
      </c>
      <c r="G12" s="37">
        <v>7.0000000000000007E-2</v>
      </c>
      <c r="H12" s="84">
        <v>0</v>
      </c>
      <c r="I12" s="36">
        <v>0</v>
      </c>
      <c r="J12" s="36">
        <v>0.14000000000000001</v>
      </c>
      <c r="K12" s="97">
        <f t="shared" si="1"/>
        <v>7.6250000000000012E-2</v>
      </c>
      <c r="L12" s="87">
        <v>0.12</v>
      </c>
      <c r="M12" s="36">
        <v>0.12</v>
      </c>
      <c r="N12" s="36">
        <v>0.17</v>
      </c>
      <c r="O12" s="36">
        <v>0.09</v>
      </c>
      <c r="P12" s="36">
        <v>0.13</v>
      </c>
      <c r="Q12" s="36">
        <v>0.09</v>
      </c>
      <c r="R12" s="36">
        <v>0</v>
      </c>
      <c r="S12" s="36">
        <v>0.14000000000000001</v>
      </c>
      <c r="T12" s="97">
        <f t="shared" si="2"/>
        <v>0.11</v>
      </c>
      <c r="U12" s="87">
        <v>0.12</v>
      </c>
      <c r="V12" s="36">
        <v>0.13</v>
      </c>
      <c r="W12" s="36">
        <v>0.17</v>
      </c>
      <c r="X12" s="36">
        <v>0.09</v>
      </c>
      <c r="Y12" s="36">
        <v>0.13</v>
      </c>
      <c r="Z12" s="36">
        <v>0.1</v>
      </c>
      <c r="AA12" s="36">
        <v>0</v>
      </c>
      <c r="AB12" s="36">
        <v>0.14000000000000001</v>
      </c>
      <c r="AC12" s="36">
        <v>0.19</v>
      </c>
      <c r="AD12" s="98">
        <f t="shared" si="3"/>
        <v>0.12</v>
      </c>
      <c r="AE12" s="99">
        <f t="shared" si="0"/>
        <v>0.1</v>
      </c>
      <c r="AG12" s="80"/>
    </row>
    <row r="13" spans="1:33" ht="45" x14ac:dyDescent="0.2">
      <c r="A13" s="9">
        <v>8</v>
      </c>
      <c r="B13" s="11" t="s">
        <v>21</v>
      </c>
      <c r="C13" s="36">
        <v>0.11</v>
      </c>
      <c r="D13" s="36">
        <v>0.13</v>
      </c>
      <c r="E13" s="36">
        <v>0.01</v>
      </c>
      <c r="F13" s="37">
        <v>0.03</v>
      </c>
      <c r="G13" s="37">
        <v>0.03</v>
      </c>
      <c r="H13" s="84">
        <v>0</v>
      </c>
      <c r="I13" s="36">
        <v>0.04</v>
      </c>
      <c r="J13" s="36">
        <v>7.0000000000000007E-2</v>
      </c>
      <c r="K13" s="97">
        <f t="shared" si="1"/>
        <v>5.2500000000000005E-2</v>
      </c>
      <c r="L13" s="87">
        <v>0.01</v>
      </c>
      <c r="M13" s="36">
        <v>0.14000000000000001</v>
      </c>
      <c r="N13" s="36">
        <v>0.01</v>
      </c>
      <c r="O13" s="36">
        <v>0.03</v>
      </c>
      <c r="P13" s="36">
        <v>0.03</v>
      </c>
      <c r="Q13" s="36">
        <v>0.06</v>
      </c>
      <c r="R13" s="36">
        <v>0.04</v>
      </c>
      <c r="S13" s="36">
        <v>7.0000000000000007E-2</v>
      </c>
      <c r="T13" s="97">
        <f t="shared" si="2"/>
        <v>0.05</v>
      </c>
      <c r="U13" s="87">
        <v>0.01</v>
      </c>
      <c r="V13" s="36">
        <v>0.14000000000000001</v>
      </c>
      <c r="W13" s="36">
        <v>0.01</v>
      </c>
      <c r="X13" s="36">
        <v>0.03</v>
      </c>
      <c r="Y13" s="36">
        <v>0.03</v>
      </c>
      <c r="Z13" s="36">
        <v>0.05</v>
      </c>
      <c r="AA13" s="36">
        <v>0.04</v>
      </c>
      <c r="AB13" s="36">
        <v>7.0000000000000007E-2</v>
      </c>
      <c r="AC13" s="36">
        <v>0.06</v>
      </c>
      <c r="AD13" s="98">
        <f t="shared" si="3"/>
        <v>0.05</v>
      </c>
      <c r="AE13" s="99">
        <f t="shared" si="0"/>
        <v>0.05</v>
      </c>
      <c r="AG13" s="80"/>
    </row>
    <row r="14" spans="1:33" ht="30" x14ac:dyDescent="0.2">
      <c r="A14" s="9">
        <v>9</v>
      </c>
      <c r="B14" s="11" t="s">
        <v>71</v>
      </c>
      <c r="C14" s="84">
        <v>0.03</v>
      </c>
      <c r="D14" s="85">
        <v>0</v>
      </c>
      <c r="E14" s="85">
        <v>7.0000000000000007E-2</v>
      </c>
      <c r="F14" s="84">
        <v>0.03</v>
      </c>
      <c r="G14" s="84">
        <v>7.0000000000000007E-2</v>
      </c>
      <c r="H14" s="84">
        <v>0</v>
      </c>
      <c r="I14" s="85">
        <v>0</v>
      </c>
      <c r="J14" s="85">
        <v>0.04</v>
      </c>
      <c r="K14" s="108">
        <f t="shared" si="1"/>
        <v>3.0000000000000002E-2</v>
      </c>
      <c r="L14" s="109">
        <v>0.03</v>
      </c>
      <c r="M14" s="85">
        <v>0</v>
      </c>
      <c r="N14" s="85">
        <v>0.08</v>
      </c>
      <c r="O14" s="85">
        <v>0.02</v>
      </c>
      <c r="P14" s="85">
        <v>7.0000000000000007E-2</v>
      </c>
      <c r="Q14" s="85">
        <v>0</v>
      </c>
      <c r="R14" s="85">
        <v>0</v>
      </c>
      <c r="S14" s="85">
        <v>0.04</v>
      </c>
      <c r="T14" s="108">
        <f t="shared" si="2"/>
        <v>0.03</v>
      </c>
      <c r="U14" s="109">
        <v>0.03</v>
      </c>
      <c r="V14" s="85">
        <v>0</v>
      </c>
      <c r="W14" s="85">
        <v>0.08</v>
      </c>
      <c r="X14" s="85">
        <v>0.01</v>
      </c>
      <c r="Y14" s="85">
        <v>7.0000000000000007E-2</v>
      </c>
      <c r="Z14" s="85">
        <v>0</v>
      </c>
      <c r="AA14" s="85">
        <v>0</v>
      </c>
      <c r="AB14" s="85">
        <v>0.04</v>
      </c>
      <c r="AC14" s="85">
        <v>0.03</v>
      </c>
      <c r="AD14" s="110">
        <f t="shared" si="3"/>
        <v>0.03</v>
      </c>
      <c r="AE14" s="348">
        <f t="shared" si="0"/>
        <v>0.03</v>
      </c>
      <c r="AG14" s="80"/>
    </row>
    <row r="15" spans="1:33" ht="30" x14ac:dyDescent="0.2">
      <c r="A15" s="9">
        <v>10</v>
      </c>
      <c r="B15" s="11" t="s">
        <v>22</v>
      </c>
      <c r="C15" s="36">
        <v>0.01</v>
      </c>
      <c r="D15" s="36">
        <v>0.15</v>
      </c>
      <c r="E15" s="36">
        <v>0.01</v>
      </c>
      <c r="F15" s="37">
        <v>0</v>
      </c>
      <c r="G15" s="37">
        <v>0.01</v>
      </c>
      <c r="H15" s="84">
        <v>0</v>
      </c>
      <c r="I15" s="36">
        <v>0</v>
      </c>
      <c r="J15" s="36">
        <v>0.12</v>
      </c>
      <c r="K15" s="97">
        <f t="shared" si="1"/>
        <v>3.7500000000000006E-2</v>
      </c>
      <c r="L15" s="87">
        <v>0.01</v>
      </c>
      <c r="M15" s="36">
        <v>0.01</v>
      </c>
      <c r="N15" s="36">
        <v>0.01</v>
      </c>
      <c r="O15" s="36">
        <v>0.03</v>
      </c>
      <c r="P15" s="36">
        <v>0.01</v>
      </c>
      <c r="Q15" s="36">
        <v>0.02</v>
      </c>
      <c r="R15" s="36">
        <v>0</v>
      </c>
      <c r="S15" s="36">
        <v>0.12</v>
      </c>
      <c r="T15" s="97">
        <f t="shared" si="2"/>
        <v>0.03</v>
      </c>
      <c r="U15" s="87">
        <v>0.01</v>
      </c>
      <c r="V15" s="36">
        <v>0.01</v>
      </c>
      <c r="W15" s="36">
        <v>0.01</v>
      </c>
      <c r="X15" s="36">
        <v>0.04</v>
      </c>
      <c r="Y15" s="36">
        <v>0.01</v>
      </c>
      <c r="Z15" s="36">
        <v>0.02</v>
      </c>
      <c r="AA15" s="36">
        <v>0</v>
      </c>
      <c r="AB15" s="36">
        <v>0.12</v>
      </c>
      <c r="AC15" s="36">
        <v>0.03</v>
      </c>
      <c r="AD15" s="98">
        <f t="shared" si="3"/>
        <v>0.03</v>
      </c>
      <c r="AE15" s="99">
        <f t="shared" si="0"/>
        <v>0.03</v>
      </c>
      <c r="AG15" s="80"/>
    </row>
    <row r="16" spans="1:33" ht="60" x14ac:dyDescent="0.2">
      <c r="A16" s="9">
        <v>11</v>
      </c>
      <c r="B16" s="78" t="s">
        <v>23</v>
      </c>
      <c r="C16" s="36">
        <v>0.02</v>
      </c>
      <c r="D16" s="36">
        <v>0.26</v>
      </c>
      <c r="E16" s="36">
        <v>0.01</v>
      </c>
      <c r="F16" s="37">
        <v>0</v>
      </c>
      <c r="G16" s="37">
        <v>0.01</v>
      </c>
      <c r="H16" s="84">
        <v>0</v>
      </c>
      <c r="I16" s="36">
        <v>0.03</v>
      </c>
      <c r="J16" s="36">
        <v>0.03</v>
      </c>
      <c r="K16" s="31">
        <f t="shared" si="1"/>
        <v>4.5000000000000012E-2</v>
      </c>
      <c r="L16" s="87">
        <v>0.11</v>
      </c>
      <c r="M16" s="36">
        <v>0.25</v>
      </c>
      <c r="N16" s="36">
        <v>0.01</v>
      </c>
      <c r="O16" s="36">
        <v>0</v>
      </c>
      <c r="P16" s="36">
        <v>0.02</v>
      </c>
      <c r="Q16" s="36">
        <v>0.01</v>
      </c>
      <c r="R16" s="36">
        <v>0.04</v>
      </c>
      <c r="S16" s="36">
        <v>0.03</v>
      </c>
      <c r="T16" s="31">
        <f t="shared" si="2"/>
        <v>0.06</v>
      </c>
      <c r="U16" s="87">
        <v>0.11</v>
      </c>
      <c r="V16" s="36">
        <v>0.25</v>
      </c>
      <c r="W16" s="36">
        <v>0.01</v>
      </c>
      <c r="X16" s="36">
        <v>0</v>
      </c>
      <c r="Y16" s="36">
        <v>0.02</v>
      </c>
      <c r="Z16" s="36">
        <v>0.01</v>
      </c>
      <c r="AA16" s="36">
        <v>0.03</v>
      </c>
      <c r="AB16" s="36">
        <v>0.03</v>
      </c>
      <c r="AC16" s="36">
        <v>0.03</v>
      </c>
      <c r="AD16" s="33">
        <f t="shared" si="3"/>
        <v>0.05</v>
      </c>
      <c r="AE16" s="35">
        <f t="shared" si="0"/>
        <v>0.05</v>
      </c>
      <c r="AG16" s="80"/>
    </row>
    <row r="17" spans="1:33" ht="45.75" thickBot="1" x14ac:dyDescent="0.25">
      <c r="A17" s="38">
        <v>12</v>
      </c>
      <c r="B17" s="39" t="s">
        <v>24</v>
      </c>
      <c r="C17" s="86">
        <v>0.01</v>
      </c>
      <c r="D17" s="86">
        <v>0.2</v>
      </c>
      <c r="E17" s="86">
        <v>0</v>
      </c>
      <c r="F17" s="86">
        <v>0</v>
      </c>
      <c r="G17" s="86">
        <v>0.01</v>
      </c>
      <c r="H17" s="84">
        <v>0</v>
      </c>
      <c r="I17" s="86">
        <v>0</v>
      </c>
      <c r="J17" s="86">
        <v>0.04</v>
      </c>
      <c r="K17" s="41">
        <f t="shared" si="1"/>
        <v>3.2500000000000001E-2</v>
      </c>
      <c r="L17" s="88">
        <v>0.04</v>
      </c>
      <c r="M17" s="86">
        <v>0.4</v>
      </c>
      <c r="N17" s="86">
        <v>0.01</v>
      </c>
      <c r="O17" s="86">
        <v>0</v>
      </c>
      <c r="P17" s="86">
        <v>0.04</v>
      </c>
      <c r="Q17" s="86">
        <v>0</v>
      </c>
      <c r="R17" s="86">
        <v>0</v>
      </c>
      <c r="S17" s="86">
        <v>0.04</v>
      </c>
      <c r="T17" s="31">
        <f t="shared" si="2"/>
        <v>7.0000000000000007E-2</v>
      </c>
      <c r="U17" s="88">
        <v>0.04</v>
      </c>
      <c r="V17" s="86">
        <v>0.2</v>
      </c>
      <c r="W17" s="86">
        <v>0.01</v>
      </c>
      <c r="X17" s="86">
        <v>0</v>
      </c>
      <c r="Y17" s="86">
        <v>0.04</v>
      </c>
      <c r="Z17" s="86">
        <v>0</v>
      </c>
      <c r="AA17" s="86">
        <v>0</v>
      </c>
      <c r="AB17" s="86">
        <v>0.04</v>
      </c>
      <c r="AC17" s="86">
        <v>0</v>
      </c>
      <c r="AD17" s="33">
        <f t="shared" si="3"/>
        <v>0.04</v>
      </c>
      <c r="AE17" s="35">
        <f t="shared" si="0"/>
        <v>0.05</v>
      </c>
      <c r="AG17" s="80"/>
    </row>
    <row r="18" spans="1:33" ht="15.75" thickBot="1" x14ac:dyDescent="0.25">
      <c r="A18" s="73">
        <v>13</v>
      </c>
      <c r="B18" s="74" t="s">
        <v>57</v>
      </c>
      <c r="C18" s="42">
        <f>SUM(C6:C17)</f>
        <v>3.9799999999999986</v>
      </c>
      <c r="D18" s="42">
        <f t="shared" ref="D18:T18" si="4">SUM(D6:D17)</f>
        <v>3.9799999999999995</v>
      </c>
      <c r="E18" s="42">
        <f t="shared" si="4"/>
        <v>3.9799999999999986</v>
      </c>
      <c r="F18" s="42">
        <f t="shared" si="4"/>
        <v>3.9799999999999995</v>
      </c>
      <c r="G18" s="42">
        <f t="shared" si="4"/>
        <v>3.9799999999999986</v>
      </c>
      <c r="H18" s="42">
        <f t="shared" si="4"/>
        <v>0</v>
      </c>
      <c r="I18" s="42">
        <f t="shared" si="4"/>
        <v>3.07</v>
      </c>
      <c r="J18" s="42">
        <f t="shared" si="4"/>
        <v>6.5</v>
      </c>
      <c r="K18" s="64">
        <f t="shared" si="4"/>
        <v>3.6724999999999999</v>
      </c>
      <c r="L18" s="65">
        <f t="shared" si="4"/>
        <v>4.4400000000000004</v>
      </c>
      <c r="M18" s="43">
        <f t="shared" si="4"/>
        <v>4.4400000000000004</v>
      </c>
      <c r="N18" s="43">
        <f t="shared" si="4"/>
        <v>4.4399999999999986</v>
      </c>
      <c r="O18" s="43">
        <f t="shared" si="4"/>
        <v>4.4399999999999995</v>
      </c>
      <c r="P18" s="43">
        <f t="shared" si="4"/>
        <v>4.4399999999999995</v>
      </c>
      <c r="Q18" s="43">
        <f t="shared" si="4"/>
        <v>4.4399999999999986</v>
      </c>
      <c r="R18" s="43">
        <f t="shared" si="4"/>
        <v>3.4699999999999998</v>
      </c>
      <c r="S18" s="43">
        <f t="shared" si="4"/>
        <v>6.9</v>
      </c>
      <c r="T18" s="64">
        <f t="shared" si="4"/>
        <v>4.63</v>
      </c>
      <c r="U18" s="66">
        <f>SUM(U6:U17)</f>
        <v>4.4400000000000004</v>
      </c>
      <c r="V18" s="43">
        <f>SUM(V6:V17)</f>
        <v>4.4400000000000004</v>
      </c>
      <c r="W18" s="43">
        <f t="shared" ref="W18:AC18" si="5">SUM(W6:W17)</f>
        <v>4.4399999999999986</v>
      </c>
      <c r="X18" s="43">
        <f t="shared" si="5"/>
        <v>4.4400000000000004</v>
      </c>
      <c r="Y18" s="43">
        <f t="shared" si="5"/>
        <v>4.4399999999999995</v>
      </c>
      <c r="Z18" s="43">
        <f t="shared" si="5"/>
        <v>4.4399999999999986</v>
      </c>
      <c r="AA18" s="43">
        <f t="shared" si="5"/>
        <v>3.5799999999999996</v>
      </c>
      <c r="AB18" s="43">
        <f t="shared" si="5"/>
        <v>6.9</v>
      </c>
      <c r="AC18" s="43">
        <f t="shared" si="5"/>
        <v>6.0400000000000009</v>
      </c>
      <c r="AD18" s="67">
        <f>SUM(AD6:AD17)</f>
        <v>4.7999999999999989</v>
      </c>
      <c r="AE18" s="68">
        <f>SUM(AE6:AE17)</f>
        <v>4.3599999999999994</v>
      </c>
      <c r="AG18" s="27"/>
    </row>
    <row r="19" spans="1:33" ht="15.75" thickBot="1" x14ac:dyDescent="0.25">
      <c r="A19" s="90"/>
      <c r="B19" s="91"/>
      <c r="C19" s="92"/>
      <c r="D19" s="92"/>
      <c r="E19" s="92"/>
      <c r="F19" s="92"/>
      <c r="G19" s="92"/>
      <c r="H19" s="92"/>
      <c r="I19" s="92"/>
      <c r="J19" s="92"/>
      <c r="K19" s="93"/>
      <c r="L19" s="93"/>
      <c r="M19" s="93"/>
      <c r="N19" s="93"/>
      <c r="O19" s="93"/>
      <c r="P19" s="93"/>
      <c r="Q19" s="93"/>
      <c r="R19" s="93"/>
      <c r="S19" s="93"/>
      <c r="T19" s="93"/>
      <c r="U19" s="93"/>
      <c r="V19" s="93"/>
      <c r="W19" s="93"/>
      <c r="X19" s="93"/>
      <c r="Y19" s="93"/>
      <c r="Z19" s="93"/>
      <c r="AA19" s="93"/>
      <c r="AB19" s="93"/>
      <c r="AC19" s="93"/>
      <c r="AD19" s="93"/>
      <c r="AE19" s="94"/>
      <c r="AG19" s="27"/>
    </row>
    <row r="20" spans="1:33" ht="45" x14ac:dyDescent="0.25">
      <c r="A20" s="9"/>
      <c r="B20" s="107" t="s">
        <v>78</v>
      </c>
      <c r="C20" s="48">
        <f>C7+C9+C11+C12+C13+C16+C17+C15</f>
        <v>0.32000000000000006</v>
      </c>
      <c r="D20" s="48">
        <f t="shared" ref="D20:AE20" si="6">D7+D9+D11+D12+D13+D16+D17+D15</f>
        <v>1.0999999999999999</v>
      </c>
      <c r="E20" s="48">
        <f t="shared" si="6"/>
        <v>0.23000000000000004</v>
      </c>
      <c r="F20" s="48">
        <f t="shared" si="6"/>
        <v>0.16</v>
      </c>
      <c r="G20" s="48">
        <f t="shared" si="6"/>
        <v>0.23</v>
      </c>
      <c r="H20" s="48">
        <f t="shared" si="6"/>
        <v>0</v>
      </c>
      <c r="I20" s="48">
        <f t="shared" si="6"/>
        <v>0.08</v>
      </c>
      <c r="J20" s="30">
        <f t="shared" si="6"/>
        <v>0.49000000000000005</v>
      </c>
      <c r="K20" s="106">
        <f>K7+K9+K11+K12+K13+K16+K17+K15</f>
        <v>0.32624999999999993</v>
      </c>
      <c r="L20" s="32">
        <f t="shared" si="6"/>
        <v>0.33</v>
      </c>
      <c r="M20" s="48">
        <f t="shared" si="6"/>
        <v>1.0999999999999999</v>
      </c>
      <c r="N20" s="48">
        <f t="shared" si="6"/>
        <v>0.26000000000000006</v>
      </c>
      <c r="O20" s="48">
        <f t="shared" si="6"/>
        <v>0.26</v>
      </c>
      <c r="P20" s="48">
        <f t="shared" si="6"/>
        <v>0.41</v>
      </c>
      <c r="Q20" s="48">
        <f t="shared" si="6"/>
        <v>0.28000000000000003</v>
      </c>
      <c r="R20" s="48">
        <f t="shared" si="6"/>
        <v>0.09</v>
      </c>
      <c r="S20" s="30">
        <f t="shared" si="6"/>
        <v>0.49000000000000005</v>
      </c>
      <c r="T20" s="106">
        <f t="shared" si="6"/>
        <v>0.41000000000000003</v>
      </c>
      <c r="U20" s="32">
        <f t="shared" si="6"/>
        <v>0.33</v>
      </c>
      <c r="V20" s="48">
        <f t="shared" si="6"/>
        <v>0.92999999999999994</v>
      </c>
      <c r="W20" s="48">
        <f t="shared" si="6"/>
        <v>0.26000000000000006</v>
      </c>
      <c r="X20" s="48">
        <f t="shared" si="6"/>
        <v>0.28000000000000003</v>
      </c>
      <c r="Y20" s="48">
        <f t="shared" si="6"/>
        <v>0.41</v>
      </c>
      <c r="Z20" s="48">
        <f t="shared" si="6"/>
        <v>0.28000000000000003</v>
      </c>
      <c r="AA20" s="48">
        <f t="shared" si="6"/>
        <v>0.08</v>
      </c>
      <c r="AB20" s="48">
        <f t="shared" si="6"/>
        <v>0.49000000000000005</v>
      </c>
      <c r="AC20" s="30">
        <f t="shared" si="6"/>
        <v>0.45000000000000007</v>
      </c>
      <c r="AD20" s="106">
        <f t="shared" si="6"/>
        <v>0.39</v>
      </c>
      <c r="AE20" s="106">
        <f t="shared" si="6"/>
        <v>0.37</v>
      </c>
      <c r="AG20" s="27"/>
    </row>
    <row r="21" spans="1:33" ht="52.5" customHeight="1" x14ac:dyDescent="0.2">
      <c r="A21" s="9"/>
      <c r="B21" s="95" t="s">
        <v>76</v>
      </c>
      <c r="C21" s="48"/>
      <c r="D21" s="48"/>
      <c r="E21" s="48"/>
      <c r="F21" s="48"/>
      <c r="G21" s="48"/>
      <c r="H21" s="48"/>
      <c r="I21" s="48"/>
      <c r="J21" s="30"/>
      <c r="K21" s="31">
        <v>0.04</v>
      </c>
      <c r="L21" s="32"/>
      <c r="M21" s="48"/>
      <c r="N21" s="48"/>
      <c r="O21" s="48"/>
      <c r="P21" s="48"/>
      <c r="Q21" s="48"/>
      <c r="R21" s="48"/>
      <c r="S21" s="30"/>
      <c r="T21" s="31">
        <v>0.04</v>
      </c>
      <c r="U21" s="32"/>
      <c r="V21" s="48"/>
      <c r="W21" s="48"/>
      <c r="X21" s="48"/>
      <c r="Y21" s="48"/>
      <c r="Z21" s="48"/>
      <c r="AA21" s="48"/>
      <c r="AB21" s="48"/>
      <c r="AC21" s="30"/>
      <c r="AD21" s="31">
        <v>0.04</v>
      </c>
      <c r="AE21" s="31">
        <v>0.04</v>
      </c>
      <c r="AG21" s="27"/>
    </row>
    <row r="22" spans="1:33" ht="36" customHeight="1" thickBot="1" x14ac:dyDescent="0.25">
      <c r="A22" s="38"/>
      <c r="B22" s="100" t="s">
        <v>77</v>
      </c>
      <c r="C22" s="82"/>
      <c r="D22" s="82"/>
      <c r="E22" s="82"/>
      <c r="F22" s="82"/>
      <c r="G22" s="82"/>
      <c r="H22" s="82"/>
      <c r="I22" s="82"/>
      <c r="J22" s="40"/>
      <c r="K22" s="41">
        <v>0.08</v>
      </c>
      <c r="L22" s="103"/>
      <c r="M22" s="82"/>
      <c r="N22" s="82"/>
      <c r="O22" s="82"/>
      <c r="P22" s="82"/>
      <c r="Q22" s="82"/>
      <c r="R22" s="82"/>
      <c r="S22" s="40"/>
      <c r="T22" s="41">
        <v>0.08</v>
      </c>
      <c r="U22" s="103"/>
      <c r="V22" s="82"/>
      <c r="W22" s="82"/>
      <c r="X22" s="82"/>
      <c r="Y22" s="82"/>
      <c r="Z22" s="82"/>
      <c r="AA22" s="82"/>
      <c r="AB22" s="82"/>
      <c r="AC22" s="40"/>
      <c r="AD22" s="41">
        <v>0.08</v>
      </c>
      <c r="AE22" s="41">
        <v>0.08</v>
      </c>
      <c r="AG22" s="27"/>
    </row>
    <row r="23" spans="1:33" ht="84.75" customHeight="1" thickBot="1" x14ac:dyDescent="0.25">
      <c r="A23" s="73"/>
      <c r="B23" s="95" t="s">
        <v>31</v>
      </c>
      <c r="C23" s="101"/>
      <c r="D23" s="101"/>
      <c r="E23" s="101"/>
      <c r="F23" s="101"/>
      <c r="G23" s="101"/>
      <c r="H23" s="101"/>
      <c r="I23" s="101"/>
      <c r="J23" s="102"/>
      <c r="K23" s="105">
        <f>K20+K21+K22</f>
        <v>0.44624999999999992</v>
      </c>
      <c r="L23" s="104"/>
      <c r="M23" s="101"/>
      <c r="N23" s="101"/>
      <c r="O23" s="101"/>
      <c r="P23" s="101"/>
      <c r="Q23" s="101"/>
      <c r="R23" s="101"/>
      <c r="S23" s="102"/>
      <c r="T23" s="105">
        <f>T20+T21+T22</f>
        <v>0.53</v>
      </c>
      <c r="U23" s="104"/>
      <c r="V23" s="101"/>
      <c r="W23" s="101"/>
      <c r="X23" s="101"/>
      <c r="Y23" s="101"/>
      <c r="Z23" s="101"/>
      <c r="AA23" s="101"/>
      <c r="AB23" s="101"/>
      <c r="AC23" s="102"/>
      <c r="AD23" s="105">
        <f>AD20+AD21+AD22</f>
        <v>0.51</v>
      </c>
      <c r="AE23" s="105">
        <f>AE20+AE21+AE22</f>
        <v>0.49</v>
      </c>
      <c r="AG23" s="27"/>
    </row>
    <row r="25" spans="1:33" ht="31.5" customHeight="1" x14ac:dyDescent="0.2">
      <c r="A25" s="389" t="s">
        <v>72</v>
      </c>
      <c r="B25" s="389"/>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row>
    <row r="26" spans="1:33" ht="63" customHeight="1" x14ac:dyDescent="0.2">
      <c r="A26" s="386" t="s">
        <v>64</v>
      </c>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row>
    <row r="27" spans="1:33" x14ac:dyDescent="0.2">
      <c r="A27" s="386" t="s">
        <v>334</v>
      </c>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row>
    <row r="28" spans="1:33" x14ac:dyDescent="0.2">
      <c r="C28" s="44"/>
      <c r="D28" s="44"/>
      <c r="E28" s="44"/>
      <c r="F28" s="44"/>
      <c r="G28" s="44"/>
      <c r="H28" s="44"/>
      <c r="I28" s="44"/>
      <c r="J28" s="44"/>
    </row>
    <row r="29" spans="1:33" x14ac:dyDescent="0.2">
      <c r="C29" s="44"/>
      <c r="D29" s="44"/>
      <c r="E29" s="44"/>
      <c r="F29" s="44"/>
      <c r="G29" s="44"/>
      <c r="H29" s="44"/>
      <c r="I29" s="44"/>
      <c r="J29" s="44"/>
    </row>
  </sheetData>
  <mergeCells count="11">
    <mergeCell ref="A26:AE26"/>
    <mergeCell ref="AE4:AE5"/>
    <mergeCell ref="A27:AE27"/>
    <mergeCell ref="A25:AE25"/>
    <mergeCell ref="A2:AE2"/>
    <mergeCell ref="A3:AE3"/>
    <mergeCell ref="A4:A5"/>
    <mergeCell ref="B4:B5"/>
    <mergeCell ref="C4:K4"/>
    <mergeCell ref="L4:T4"/>
    <mergeCell ref="U4:AD4"/>
  </mergeCells>
  <phoneticPr fontId="15" type="noConversion"/>
  <hyperlinks>
    <hyperlink ref="B1" location="SATURS!A1" display="ATPAKAĻ uz SATURU" xr:uid="{FEE17B44-37A9-46E2-95D5-B79F3A836CB0}"/>
  </hyperlinks>
  <pageMargins left="0.70866141732283472" right="0.70866141732283472" top="0.74803149606299213" bottom="0.74803149606299213" header="0.31496062992125984" footer="0.31496062992125984"/>
  <pageSetup paperSize="9"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zoomScaleNormal="100" workbookViewId="0">
      <selection activeCell="A10" sqref="A10:F10"/>
    </sheetView>
  </sheetViews>
  <sheetFormatPr defaultColWidth="9.140625" defaultRowHeight="15" x14ac:dyDescent="0.25"/>
  <cols>
    <col min="1" max="1" width="24.85546875" style="1" customWidth="1"/>
    <col min="2" max="2" width="14.42578125" style="1" customWidth="1"/>
    <col min="3" max="3" width="12.85546875" style="1" customWidth="1"/>
    <col min="4" max="4" width="16" style="1" customWidth="1"/>
    <col min="5" max="5" width="15.7109375" style="1" customWidth="1"/>
    <col min="6" max="6" width="33.7109375" style="1" customWidth="1"/>
    <col min="7" max="16384" width="9.140625" style="1"/>
  </cols>
  <sheetData>
    <row r="1" spans="1:6" ht="15.75" thickBot="1" x14ac:dyDescent="0.3">
      <c r="A1" s="344" t="s">
        <v>324</v>
      </c>
    </row>
    <row r="2" spans="1:6" x14ac:dyDescent="0.25">
      <c r="A2" s="381" t="s">
        <v>74</v>
      </c>
      <c r="B2" s="381"/>
      <c r="C2" s="381"/>
      <c r="D2" s="381"/>
      <c r="E2" s="381"/>
      <c r="F2" s="381"/>
    </row>
    <row r="3" spans="1:6" s="4" customFormat="1" ht="17.100000000000001" customHeight="1" x14ac:dyDescent="0.2">
      <c r="A3" s="382" t="s">
        <v>46</v>
      </c>
      <c r="B3" s="382"/>
      <c r="C3" s="382"/>
      <c r="D3" s="382"/>
      <c r="E3" s="382"/>
      <c r="F3" s="382"/>
    </row>
    <row r="4" spans="1:6" ht="57.75" customHeight="1" x14ac:dyDescent="0.25">
      <c r="A4" s="16" t="s">
        <v>61</v>
      </c>
      <c r="B4" s="49" t="s">
        <v>8</v>
      </c>
      <c r="C4" s="49" t="s">
        <v>5</v>
      </c>
      <c r="D4" s="49" t="s">
        <v>27</v>
      </c>
      <c r="E4" s="18" t="s">
        <v>58</v>
      </c>
      <c r="F4" s="18" t="s">
        <v>60</v>
      </c>
    </row>
    <row r="5" spans="1:6" ht="13.5" customHeight="1" x14ac:dyDescent="0.25">
      <c r="A5" s="60">
        <v>1</v>
      </c>
      <c r="B5" s="60">
        <v>2</v>
      </c>
      <c r="C5" s="60">
        <v>3</v>
      </c>
      <c r="D5" s="61" t="s">
        <v>28</v>
      </c>
      <c r="E5" s="60" t="s">
        <v>29</v>
      </c>
      <c r="F5" s="62" t="s">
        <v>47</v>
      </c>
    </row>
    <row r="6" spans="1:6" ht="12.75" customHeight="1" x14ac:dyDescent="0.25">
      <c r="A6" s="12" t="s">
        <v>45</v>
      </c>
      <c r="B6" s="19">
        <v>400</v>
      </c>
      <c r="C6" s="20">
        <v>1</v>
      </c>
      <c r="D6" s="21">
        <f>ROUND(C6*213.43,2)</f>
        <v>213.43</v>
      </c>
      <c r="E6" s="22">
        <f>ROUND(D6/B6,2)</f>
        <v>0.53</v>
      </c>
      <c r="F6" s="22">
        <f>ROUNDUP(E6/252/8,2)</f>
        <v>0.01</v>
      </c>
    </row>
    <row r="7" spans="1:6" x14ac:dyDescent="0.25">
      <c r="A7" s="12" t="s">
        <v>2</v>
      </c>
      <c r="B7" s="19">
        <v>4</v>
      </c>
      <c r="C7" s="20">
        <v>1</v>
      </c>
      <c r="D7" s="21">
        <f>ROUND(C7*213.43,2)</f>
        <v>213.43</v>
      </c>
      <c r="E7" s="22">
        <f>ROUND(D7/B7,2)</f>
        <v>53.36</v>
      </c>
      <c r="F7" s="22">
        <f>ROUND(E7/252/8,2)</f>
        <v>0.03</v>
      </c>
    </row>
    <row r="8" spans="1:6" x14ac:dyDescent="0.25">
      <c r="A8" s="50" t="s">
        <v>57</v>
      </c>
      <c r="B8" s="23" t="s">
        <v>1</v>
      </c>
      <c r="C8" s="24">
        <f>SUM(C6:C7)</f>
        <v>2</v>
      </c>
      <c r="D8" s="25">
        <f>ROUND(SUM(D6:D7),2)</f>
        <v>426.86</v>
      </c>
      <c r="E8" s="25">
        <f>ROUND(SUM(E6:E7),2)</f>
        <v>53.89</v>
      </c>
      <c r="F8" s="25">
        <f>ROUND(SUM(F6:F7),2)</f>
        <v>0.04</v>
      </c>
    </row>
    <row r="9" spans="1:6" x14ac:dyDescent="0.25">
      <c r="A9" s="56"/>
      <c r="B9" s="57"/>
      <c r="C9" s="58"/>
      <c r="D9" s="59"/>
      <c r="E9" s="59"/>
      <c r="F9" s="59"/>
    </row>
    <row r="10" spans="1:6" ht="106.5" customHeight="1" x14ac:dyDescent="0.25">
      <c r="A10" s="403" t="s">
        <v>59</v>
      </c>
      <c r="B10" s="404"/>
      <c r="C10" s="404"/>
      <c r="D10" s="404"/>
      <c r="E10" s="404"/>
      <c r="F10" s="404"/>
    </row>
  </sheetData>
  <customSheetViews>
    <customSheetView guid="{BE8ADE53-8BEB-4C68-A52B-650D06D579FF}">
      <selection activeCell="K11" sqref="K11"/>
      <pageMargins left="0.70866141732283472" right="0.70866141732283472" top="0.74803149606299213" bottom="0.74803149606299213" header="0.31496062992125984" footer="0.31496062992125984"/>
      <pageSetup paperSize="9" scale="60" orientation="landscape" r:id="rId1"/>
    </customSheetView>
    <customSheetView guid="{DD9369C5-0AB7-4492-8028-68BB156F28A4}">
      <selection activeCell="E9" sqref="E9"/>
      <pageMargins left="0.70866141732283472" right="0.70866141732283472" top="0.74803149606299213" bottom="0.74803149606299213" header="0.31496062992125984" footer="0.31496062992125984"/>
      <pageSetup paperSize="9" scale="60" orientation="landscape" r:id="rId2"/>
    </customSheetView>
    <customSheetView guid="{CC63F85D-63B9-4AE4-A28C-227DAE744DBC}">
      <selection activeCell="A3" sqref="A3:F3"/>
      <pageMargins left="0.70866141732283472" right="0.70866141732283472" top="0.74803149606299213" bottom="0.74803149606299213" header="0.31496062992125984" footer="0.31496062992125984"/>
      <pageSetup paperSize="9" scale="60" orientation="landscape" r:id="rId3"/>
    </customSheetView>
  </customSheetViews>
  <mergeCells count="3">
    <mergeCell ref="A10:F10"/>
    <mergeCell ref="A3:F3"/>
    <mergeCell ref="A2:F2"/>
  </mergeCells>
  <hyperlinks>
    <hyperlink ref="A1" location="SATURS!A1" display="ATPAKAĻ uz SATURU" xr:uid="{9DF3186A-899F-4D67-B1EA-7A048C188B6B}"/>
  </hyperlinks>
  <pageMargins left="0.70866141732283472" right="0.70866141732283472" top="0.74803149606299213" bottom="0.74803149606299213" header="0.31496062992125984" footer="0.31496062992125984"/>
  <pageSetup paperSize="9" scale="6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6"/>
  <sheetViews>
    <sheetView zoomScaleNormal="100" workbookViewId="0"/>
  </sheetViews>
  <sheetFormatPr defaultColWidth="9.140625" defaultRowHeight="15" x14ac:dyDescent="0.25"/>
  <cols>
    <col min="1" max="1" width="32.7109375" style="5" customWidth="1"/>
    <col min="2" max="2" width="18.7109375" style="5" customWidth="1"/>
    <col min="3" max="3" width="10.7109375" style="5" customWidth="1"/>
    <col min="4" max="4" width="19" style="5" customWidth="1"/>
    <col min="5" max="5" width="22" style="5" customWidth="1"/>
    <col min="6" max="6" width="9.85546875" style="5" customWidth="1"/>
    <col min="7" max="7" width="22.7109375" style="5" customWidth="1"/>
    <col min="8" max="8" width="9.140625" style="5" customWidth="1"/>
    <col min="9" max="16384" width="9.140625" style="5"/>
  </cols>
  <sheetData>
    <row r="1" spans="1:7" ht="15.75" thickBot="1" x14ac:dyDescent="0.3">
      <c r="A1" s="344" t="s">
        <v>324</v>
      </c>
    </row>
    <row r="2" spans="1:7" x14ac:dyDescent="0.25">
      <c r="A2" s="405" t="s">
        <v>75</v>
      </c>
      <c r="B2" s="405"/>
      <c r="C2" s="405"/>
      <c r="D2" s="405"/>
      <c r="E2" s="405"/>
      <c r="F2" s="405"/>
      <c r="G2" s="405"/>
    </row>
    <row r="3" spans="1:7" ht="17.100000000000001" customHeight="1" x14ac:dyDescent="0.25">
      <c r="A3" s="406" t="s">
        <v>43</v>
      </c>
      <c r="B3" s="406"/>
      <c r="C3" s="406"/>
      <c r="D3" s="406"/>
      <c r="E3" s="406"/>
      <c r="F3" s="406"/>
      <c r="G3" s="406"/>
    </row>
    <row r="4" spans="1:7" ht="60" x14ac:dyDescent="0.25">
      <c r="A4" s="17" t="s">
        <v>35</v>
      </c>
      <c r="B4" s="17" t="s">
        <v>33</v>
      </c>
      <c r="C4" s="17" t="s">
        <v>42</v>
      </c>
      <c r="D4" s="17" t="s">
        <v>38</v>
      </c>
      <c r="E4" s="17" t="s">
        <v>39</v>
      </c>
      <c r="F4" s="49" t="s">
        <v>50</v>
      </c>
      <c r="G4" s="17" t="s">
        <v>41</v>
      </c>
    </row>
    <row r="5" spans="1:7" ht="12.75" customHeight="1" x14ac:dyDescent="0.25">
      <c r="A5" s="69">
        <v>1</v>
      </c>
      <c r="B5" s="69">
        <v>2</v>
      </c>
      <c r="C5" s="70">
        <v>3</v>
      </c>
      <c r="D5" s="69" t="s">
        <v>34</v>
      </c>
      <c r="E5" s="71" t="s">
        <v>44</v>
      </c>
      <c r="F5" s="71">
        <v>6</v>
      </c>
      <c r="G5" s="69" t="s">
        <v>51</v>
      </c>
    </row>
    <row r="6" spans="1:7" x14ac:dyDescent="0.25">
      <c r="A6" s="15" t="s">
        <v>49</v>
      </c>
      <c r="B6" s="9">
        <v>176.75</v>
      </c>
      <c r="C6" s="414">
        <v>2002</v>
      </c>
      <c r="D6" s="29">
        <f>B6/C6</f>
        <v>8.8286713286713281E-2</v>
      </c>
      <c r="E6" s="410">
        <f>ROUND(AVERAGE(D6:D7),2)</f>
        <v>0.09</v>
      </c>
      <c r="F6" s="412">
        <v>0</v>
      </c>
      <c r="G6" s="408">
        <f>ROUND(E6*F6+E8*F8,2)</f>
        <v>0.08</v>
      </c>
    </row>
    <row r="7" spans="1:7" x14ac:dyDescent="0.25">
      <c r="A7" s="15" t="s">
        <v>36</v>
      </c>
      <c r="B7" s="9">
        <v>176.75</v>
      </c>
      <c r="C7" s="414"/>
      <c r="D7" s="29">
        <f>B7/C6</f>
        <v>8.8286713286713281E-2</v>
      </c>
      <c r="E7" s="411"/>
      <c r="F7" s="413"/>
      <c r="G7" s="408"/>
    </row>
    <row r="8" spans="1:7" x14ac:dyDescent="0.25">
      <c r="A8" s="15" t="s">
        <v>37</v>
      </c>
      <c r="B8" s="9">
        <v>75.75</v>
      </c>
      <c r="C8" s="414"/>
      <c r="D8" s="29">
        <f>ROUND(B8/C6,2)</f>
        <v>0.04</v>
      </c>
      <c r="E8" s="48">
        <f>D8</f>
        <v>0.04</v>
      </c>
      <c r="F8" s="47">
        <v>2</v>
      </c>
      <c r="G8" s="408"/>
    </row>
    <row r="10" spans="1:7" ht="30" customHeight="1" x14ac:dyDescent="0.25">
      <c r="A10" s="407" t="s">
        <v>63</v>
      </c>
      <c r="B10" s="407"/>
      <c r="C10" s="407"/>
      <c r="D10" s="407"/>
      <c r="E10" s="407"/>
      <c r="F10" s="407"/>
      <c r="G10" s="407"/>
    </row>
    <row r="11" spans="1:7" ht="26.25" customHeight="1" x14ac:dyDescent="0.25">
      <c r="A11" s="407" t="s">
        <v>80</v>
      </c>
      <c r="B11" s="407"/>
      <c r="C11" s="407"/>
      <c r="D11" s="407"/>
      <c r="E11" s="407"/>
      <c r="F11" s="407"/>
      <c r="G11" s="407"/>
    </row>
    <row r="12" spans="1:7" ht="30" customHeight="1" x14ac:dyDescent="0.25">
      <c r="A12" s="407" t="s">
        <v>40</v>
      </c>
      <c r="B12" s="407"/>
      <c r="C12" s="407"/>
      <c r="D12" s="407"/>
      <c r="E12" s="407"/>
      <c r="F12" s="407"/>
      <c r="G12" s="407"/>
    </row>
    <row r="13" spans="1:7" x14ac:dyDescent="0.25">
      <c r="A13" s="409" t="s">
        <v>48</v>
      </c>
      <c r="B13" s="409"/>
      <c r="C13" s="409"/>
      <c r="D13" s="409"/>
      <c r="E13" s="409"/>
      <c r="F13" s="409"/>
      <c r="G13" s="409"/>
    </row>
    <row r="16" spans="1:7" x14ac:dyDescent="0.25">
      <c r="E16" s="45"/>
      <c r="F16" s="45"/>
    </row>
  </sheetData>
  <mergeCells count="10">
    <mergeCell ref="A13:G13"/>
    <mergeCell ref="E6:E7"/>
    <mergeCell ref="F6:F7"/>
    <mergeCell ref="A12:G12"/>
    <mergeCell ref="C6:C8"/>
    <mergeCell ref="A2:G2"/>
    <mergeCell ref="A3:G3"/>
    <mergeCell ref="A10:G10"/>
    <mergeCell ref="A11:G11"/>
    <mergeCell ref="G6:G8"/>
  </mergeCells>
  <hyperlinks>
    <hyperlink ref="A1" location="SATURS!A1" display="ATPAKAĻ uz SATURU" xr:uid="{DFA04543-6221-4CD4-8F0C-D6A14E5EFD5E}"/>
  </hyperlinks>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zoomScale="95" zoomScaleNormal="95" workbookViewId="0"/>
  </sheetViews>
  <sheetFormatPr defaultColWidth="9.140625" defaultRowHeight="15" x14ac:dyDescent="0.25"/>
  <cols>
    <col min="1" max="1" width="20.28515625" style="1" customWidth="1"/>
    <col min="2" max="2" width="82.85546875" style="1" customWidth="1"/>
    <col min="3" max="16384" width="9.140625" style="1"/>
  </cols>
  <sheetData>
    <row r="1" spans="1:2" ht="15.75" thickBot="1" x14ac:dyDescent="0.3">
      <c r="A1" s="344" t="s">
        <v>324</v>
      </c>
    </row>
    <row r="2" spans="1:2" ht="15" customHeight="1" x14ac:dyDescent="0.25">
      <c r="A2" s="416" t="s">
        <v>88</v>
      </c>
      <c r="B2" s="416"/>
    </row>
    <row r="3" spans="1:2" ht="33.950000000000003" customHeight="1" x14ac:dyDescent="0.25">
      <c r="A3" s="415" t="s">
        <v>82</v>
      </c>
      <c r="B3" s="415"/>
    </row>
    <row r="4" spans="1:2" s="112" customFormat="1" ht="33.950000000000003" customHeight="1" x14ac:dyDescent="0.25">
      <c r="A4" s="111"/>
      <c r="B4" s="111"/>
    </row>
    <row r="5" spans="1:2" ht="223.5" customHeight="1" x14ac:dyDescent="0.25">
      <c r="A5" s="417" t="s">
        <v>81</v>
      </c>
      <c r="B5" s="418"/>
    </row>
    <row r="14" spans="1:2" x14ac:dyDescent="0.25">
      <c r="B14" s="3"/>
    </row>
  </sheetData>
  <customSheetViews>
    <customSheetView guid="{BE8ADE53-8BEB-4C68-A52B-650D06D579FF}">
      <selection activeCell="B1" sqref="B1"/>
      <pageMargins left="0.70866141732283472" right="0.70866141732283472" top="0.74803149606299213" bottom="0.74803149606299213" header="0.31496062992125984" footer="0.31496062992125984"/>
      <pageSetup paperSize="9" orientation="landscape" r:id="rId1"/>
    </customSheetView>
    <customSheetView guid="{DD9369C5-0AB7-4492-8028-68BB156F28A4}">
      <selection activeCell="H7" sqref="H7"/>
      <pageMargins left="0.70866141732283472" right="0.70866141732283472" top="0.74803149606299213" bottom="0.74803149606299213" header="0.31496062992125984" footer="0.31496062992125984"/>
      <pageSetup paperSize="9" orientation="landscape" r:id="rId2"/>
    </customSheetView>
    <customSheetView guid="{CC63F85D-63B9-4AE4-A28C-227DAE744DBC}">
      <selection activeCell="D18" sqref="B16:D18"/>
      <pageMargins left="0.70866141732283472" right="0.70866141732283472" top="0.74803149606299213" bottom="0.74803149606299213" header="0.31496062992125984" footer="0.31496062992125984"/>
      <pageSetup paperSize="9" orientation="landscape" r:id="rId3"/>
    </customSheetView>
  </customSheetViews>
  <mergeCells count="3">
    <mergeCell ref="A3:B3"/>
    <mergeCell ref="A2:B2"/>
    <mergeCell ref="A5:B5"/>
  </mergeCells>
  <hyperlinks>
    <hyperlink ref="A1" location="SATURS!A1" display="ATPAKAĻ uz SATURU" xr:uid="{25011C94-93E0-4789-934E-5F1BE79CA3B9}"/>
  </hyperlinks>
  <pageMargins left="0.70866141732283472" right="0.70866141732283472" top="0.74803149606299213" bottom="0.74803149606299213" header="0.31496062992125984" footer="0.31496062992125984"/>
  <pageSetup paperSize="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A9FF0-93C6-49B6-BF10-AB3E4A4E9232}">
  <sheetPr>
    <pageSetUpPr fitToPage="1"/>
  </sheetPr>
  <dimension ref="A1:H16"/>
  <sheetViews>
    <sheetView zoomScale="118" zoomScaleNormal="118" workbookViewId="0"/>
  </sheetViews>
  <sheetFormatPr defaultColWidth="9.140625" defaultRowHeight="15" x14ac:dyDescent="0.25"/>
  <cols>
    <col min="1" max="1" width="34" style="1" customWidth="1"/>
    <col min="2" max="2" width="9.140625" style="1"/>
    <col min="3" max="3" width="12.5703125" style="1" customWidth="1"/>
    <col min="4" max="4" width="10.42578125" style="1" customWidth="1"/>
    <col min="5" max="5" width="36.85546875" style="1" customWidth="1"/>
    <col min="6" max="6" width="46.42578125" style="1" customWidth="1"/>
    <col min="7" max="7" width="58.85546875" style="1" customWidth="1"/>
    <col min="8" max="8" width="10.42578125" style="1" bestFit="1" customWidth="1"/>
    <col min="9" max="16384" width="9.140625" style="1"/>
  </cols>
  <sheetData>
    <row r="1" spans="1:8" ht="15.75" thickBot="1" x14ac:dyDescent="0.3">
      <c r="A1" s="344" t="s">
        <v>324</v>
      </c>
    </row>
    <row r="2" spans="1:8" x14ac:dyDescent="0.25">
      <c r="A2" s="381" t="s">
        <v>90</v>
      </c>
      <c r="B2" s="381"/>
      <c r="C2" s="381"/>
      <c r="D2" s="381"/>
      <c r="E2" s="381"/>
      <c r="F2" s="381"/>
      <c r="G2" s="381"/>
    </row>
    <row r="3" spans="1:8" x14ac:dyDescent="0.25">
      <c r="A3" s="406" t="s">
        <v>390</v>
      </c>
      <c r="B3" s="406"/>
      <c r="C3" s="406"/>
      <c r="D3" s="406"/>
      <c r="E3" s="406"/>
      <c r="F3" s="406"/>
      <c r="G3" s="406"/>
    </row>
    <row r="4" spans="1:8" ht="80.25" customHeight="1" x14ac:dyDescent="0.25">
      <c r="A4" s="383"/>
      <c r="B4" s="384" t="s">
        <v>9</v>
      </c>
      <c r="C4" s="114" t="s">
        <v>331</v>
      </c>
      <c r="D4" s="114" t="s">
        <v>91</v>
      </c>
      <c r="E4" s="384" t="s">
        <v>0</v>
      </c>
      <c r="F4" s="385" t="s">
        <v>92</v>
      </c>
      <c r="G4" s="385" t="s">
        <v>93</v>
      </c>
    </row>
    <row r="5" spans="1:8" ht="13.5" customHeight="1" x14ac:dyDescent="0.25">
      <c r="A5" s="383"/>
      <c r="B5" s="384"/>
      <c r="C5" s="55" t="s">
        <v>26</v>
      </c>
      <c r="D5" s="55" t="s">
        <v>26</v>
      </c>
      <c r="E5" s="384"/>
      <c r="F5" s="385"/>
      <c r="G5" s="385"/>
    </row>
    <row r="6" spans="1:8" ht="111" customHeight="1" x14ac:dyDescent="0.25">
      <c r="A6" s="13" t="s">
        <v>4</v>
      </c>
      <c r="B6" s="13">
        <f>SUM(B7:B12)</f>
        <v>8.6999999999999993</v>
      </c>
      <c r="C6" s="14">
        <f>SUM(C7:C12)</f>
        <v>605.00999999999988</v>
      </c>
      <c r="D6" s="14">
        <f>SUM(D7:D12)</f>
        <v>28.810000000000002</v>
      </c>
      <c r="E6" s="364"/>
      <c r="F6" s="372" t="s">
        <v>94</v>
      </c>
      <c r="G6" s="157" t="s">
        <v>400</v>
      </c>
    </row>
    <row r="7" spans="1:8" ht="327" customHeight="1" x14ac:dyDescent="0.25">
      <c r="A7" s="6" t="s">
        <v>95</v>
      </c>
      <c r="B7" s="9">
        <v>3</v>
      </c>
      <c r="C7" s="51">
        <f>9.69*21</f>
        <v>203.48999999999998</v>
      </c>
      <c r="D7" s="51">
        <f>ROUND((1357.09/20/21)*3,2)</f>
        <v>9.69</v>
      </c>
      <c r="E7" s="359" t="s">
        <v>351</v>
      </c>
      <c r="F7" s="191" t="s">
        <v>359</v>
      </c>
      <c r="G7" s="78" t="s">
        <v>363</v>
      </c>
    </row>
    <row r="8" spans="1:8" ht="240.75" customHeight="1" x14ac:dyDescent="0.25">
      <c r="A8" s="8" t="s">
        <v>96</v>
      </c>
      <c r="B8" s="9">
        <v>1</v>
      </c>
      <c r="C8" s="51">
        <f>4.4*21</f>
        <v>92.4</v>
      </c>
      <c r="D8" s="51">
        <f>ROUND((1849.51/20/21)*1,2)</f>
        <v>4.4000000000000004</v>
      </c>
      <c r="E8" s="359" t="s">
        <v>352</v>
      </c>
      <c r="F8" s="191" t="s">
        <v>326</v>
      </c>
      <c r="G8" s="72" t="s">
        <v>362</v>
      </c>
    </row>
    <row r="9" spans="1:8" ht="221.25" customHeight="1" x14ac:dyDescent="0.25">
      <c r="A9" s="8" t="s">
        <v>97</v>
      </c>
      <c r="B9" s="9">
        <v>2</v>
      </c>
      <c r="C9" s="9">
        <f>6.46*21</f>
        <v>135.66</v>
      </c>
      <c r="D9" s="51">
        <f>ROUND((1357.09/20/21)*2,2)</f>
        <v>6.46</v>
      </c>
      <c r="E9" s="359" t="s">
        <v>327</v>
      </c>
      <c r="F9" s="191" t="s">
        <v>328</v>
      </c>
      <c r="G9" s="72" t="s">
        <v>382</v>
      </c>
    </row>
    <row r="10" spans="1:8" ht="180" customHeight="1" x14ac:dyDescent="0.25">
      <c r="A10" s="8" t="s">
        <v>98</v>
      </c>
      <c r="B10" s="9">
        <v>2</v>
      </c>
      <c r="C10" s="9">
        <f>4.9*21</f>
        <v>102.9</v>
      </c>
      <c r="D10" s="51">
        <f>ROUND((1028.82/20/21)*2,2)</f>
        <v>4.9000000000000004</v>
      </c>
      <c r="E10" s="359" t="s">
        <v>353</v>
      </c>
      <c r="F10" s="191" t="s">
        <v>354</v>
      </c>
      <c r="G10" s="72" t="s">
        <v>360</v>
      </c>
      <c r="H10" s="349"/>
    </row>
    <row r="11" spans="1:8" ht="198" customHeight="1" x14ac:dyDescent="0.25">
      <c r="A11" s="8" t="s">
        <v>99</v>
      </c>
      <c r="B11" s="117">
        <v>0.5</v>
      </c>
      <c r="C11" s="10">
        <f>2.59*21</f>
        <v>54.39</v>
      </c>
      <c r="D11" s="51">
        <f>ROUND((2177.78/20/21)*0.5,2)</f>
        <v>2.59</v>
      </c>
      <c r="E11" s="359" t="s">
        <v>355</v>
      </c>
      <c r="F11" s="191" t="s">
        <v>358</v>
      </c>
      <c r="G11" s="72" t="s">
        <v>350</v>
      </c>
      <c r="H11" s="2"/>
    </row>
    <row r="12" spans="1:8" ht="217.5" customHeight="1" x14ac:dyDescent="0.25">
      <c r="A12" s="8" t="s">
        <v>100</v>
      </c>
      <c r="B12" s="117">
        <v>0.2</v>
      </c>
      <c r="C12" s="10">
        <f>0.77*21</f>
        <v>16.170000000000002</v>
      </c>
      <c r="D12" s="51">
        <f>ROUND((1610.91/20/21)*0.2,2)</f>
        <v>0.77</v>
      </c>
      <c r="E12" s="359" t="s">
        <v>356</v>
      </c>
      <c r="F12" s="191" t="s">
        <v>357</v>
      </c>
      <c r="G12" s="72" t="s">
        <v>361</v>
      </c>
      <c r="H12" s="2"/>
    </row>
    <row r="13" spans="1:8" ht="72.75" customHeight="1" x14ac:dyDescent="0.25">
      <c r="A13" s="13" t="s">
        <v>101</v>
      </c>
      <c r="B13" s="116"/>
      <c r="C13" s="14">
        <f>D13*21</f>
        <v>146.79</v>
      </c>
      <c r="D13" s="14">
        <v>6.99</v>
      </c>
      <c r="E13" s="113" t="s">
        <v>102</v>
      </c>
      <c r="F13" s="419" t="s">
        <v>103</v>
      </c>
      <c r="G13" s="420"/>
    </row>
    <row r="14" spans="1:8" x14ac:dyDescent="0.25">
      <c r="A14" s="118" t="s">
        <v>57</v>
      </c>
      <c r="B14" s="119"/>
      <c r="C14" s="14">
        <f>C13+C6</f>
        <v>751.79999999999984</v>
      </c>
      <c r="D14" s="14">
        <f>D13+D6</f>
        <v>35.800000000000004</v>
      </c>
      <c r="E14" s="120"/>
      <c r="F14" s="121"/>
      <c r="G14" s="121"/>
    </row>
    <row r="15" spans="1:8" x14ac:dyDescent="0.25">
      <c r="D15" s="2"/>
    </row>
    <row r="16" spans="1:8" x14ac:dyDescent="0.25">
      <c r="D16" s="2"/>
    </row>
  </sheetData>
  <mergeCells count="8">
    <mergeCell ref="F13:G13"/>
    <mergeCell ref="A2:G2"/>
    <mergeCell ref="A3:G3"/>
    <mergeCell ref="A4:A5"/>
    <mergeCell ref="B4:B5"/>
    <mergeCell ref="E4:E5"/>
    <mergeCell ref="F4:F5"/>
    <mergeCell ref="G4:G5"/>
  </mergeCells>
  <hyperlinks>
    <hyperlink ref="A1" location="SATURS!A1" display="ATPAKAĻ uz SATURU" xr:uid="{FD31BD28-FE40-4FC8-B2C8-F5A272D6C9EC}"/>
  </hyperlinks>
  <pageMargins left="0.70866141732283472" right="0.70866141732283472" top="0.74803149606299213" bottom="0.74803149606299213" header="0.31496062992125984" footer="0.31496062992125984"/>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D9B2-4B9C-4083-8BF8-937C0E3C1B45}">
  <sheetPr>
    <pageSetUpPr fitToPage="1"/>
  </sheetPr>
  <dimension ref="A1:N69"/>
  <sheetViews>
    <sheetView topLeftCell="A34" zoomScale="89" zoomScaleNormal="89" workbookViewId="0">
      <selection activeCell="L66" sqref="L66"/>
    </sheetView>
  </sheetViews>
  <sheetFormatPr defaultColWidth="9.140625" defaultRowHeight="14.25" x14ac:dyDescent="0.2"/>
  <cols>
    <col min="1" max="1" width="4" style="122" customWidth="1"/>
    <col min="2" max="2" width="49.42578125" style="122" customWidth="1"/>
    <col min="3" max="6" width="7.5703125" style="122" customWidth="1"/>
    <col min="7" max="7" width="8.5703125" style="122" customWidth="1"/>
    <col min="8" max="10" width="7.5703125" style="122" customWidth="1"/>
    <col min="11" max="12" width="17" style="122" customWidth="1"/>
    <col min="13" max="13" width="11.7109375" style="122" customWidth="1"/>
    <col min="14" max="14" width="8.7109375" style="122" customWidth="1"/>
    <col min="15" max="15" width="7.7109375" style="122" customWidth="1"/>
    <col min="16" max="16" width="8.7109375" style="122" customWidth="1"/>
    <col min="17" max="17" width="7.5703125" style="122" customWidth="1"/>
    <col min="18" max="18" width="8.140625" style="122" customWidth="1"/>
    <col min="19" max="19" width="7.5703125" style="122" customWidth="1"/>
    <col min="20" max="20" width="8.42578125" style="122" customWidth="1"/>
    <col min="21" max="21" width="8.5703125" style="122" customWidth="1"/>
    <col min="22" max="22" width="7.7109375" style="122" customWidth="1"/>
    <col min="23" max="23" width="8.42578125" style="122" customWidth="1"/>
    <col min="24" max="24" width="10.28515625" style="122" customWidth="1"/>
    <col min="25" max="25" width="8.42578125" style="122" customWidth="1"/>
    <col min="26" max="26" width="7.85546875" style="122" customWidth="1"/>
    <col min="27" max="27" width="8.28515625" style="122" customWidth="1"/>
    <col min="28" max="28" width="8.42578125" style="122" customWidth="1"/>
    <col min="29" max="29" width="8.140625" style="122" customWidth="1"/>
    <col min="30" max="30" width="10.85546875" style="122" customWidth="1"/>
    <col min="31" max="31" width="10.7109375" style="122" customWidth="1"/>
    <col min="32" max="16384" width="9.140625" style="122"/>
  </cols>
  <sheetData>
    <row r="1" spans="1:12" ht="15" thickBot="1" x14ac:dyDescent="0.25">
      <c r="B1" s="344" t="s">
        <v>324</v>
      </c>
    </row>
    <row r="2" spans="1:12" ht="15" x14ac:dyDescent="0.25">
      <c r="A2" s="1"/>
      <c r="B2" s="390" t="s">
        <v>104</v>
      </c>
      <c r="C2" s="390"/>
      <c r="D2" s="390"/>
      <c r="E2" s="390"/>
      <c r="F2" s="390"/>
      <c r="G2" s="390"/>
      <c r="H2" s="390"/>
      <c r="I2" s="390"/>
      <c r="J2" s="390"/>
      <c r="K2" s="390"/>
      <c r="L2" s="390"/>
    </row>
    <row r="3" spans="1:12" x14ac:dyDescent="0.2">
      <c r="A3" s="382" t="s">
        <v>105</v>
      </c>
      <c r="B3" s="382"/>
      <c r="C3" s="382"/>
      <c r="D3" s="382"/>
      <c r="E3" s="382"/>
      <c r="F3" s="382"/>
      <c r="G3" s="382"/>
      <c r="H3" s="382"/>
      <c r="I3" s="382"/>
      <c r="J3" s="382"/>
      <c r="K3" s="382"/>
      <c r="L3" s="382"/>
    </row>
    <row r="4" spans="1:12" ht="15" x14ac:dyDescent="0.25">
      <c r="A4" s="421" t="s">
        <v>106</v>
      </c>
      <c r="B4" s="421" t="s">
        <v>10</v>
      </c>
      <c r="C4" s="422" t="s">
        <v>107</v>
      </c>
      <c r="D4" s="422"/>
      <c r="E4" s="422"/>
      <c r="F4" s="422"/>
      <c r="G4" s="422"/>
      <c r="H4" s="422"/>
      <c r="I4" s="422"/>
      <c r="J4" s="422"/>
      <c r="K4" s="422"/>
      <c r="L4" s="1"/>
    </row>
    <row r="5" spans="1:12" ht="30" x14ac:dyDescent="0.25">
      <c r="A5" s="421"/>
      <c r="B5" s="421"/>
      <c r="C5" s="123" t="s">
        <v>108</v>
      </c>
      <c r="D5" s="123" t="s">
        <v>109</v>
      </c>
      <c r="E5" s="123" t="s">
        <v>110</v>
      </c>
      <c r="F5" s="123" t="s">
        <v>111</v>
      </c>
      <c r="G5" s="123" t="s">
        <v>112</v>
      </c>
      <c r="H5" s="123" t="s">
        <v>113</v>
      </c>
      <c r="I5" s="123" t="s">
        <v>114</v>
      </c>
      <c r="J5" s="123" t="s">
        <v>115</v>
      </c>
      <c r="K5" s="123" t="s">
        <v>116</v>
      </c>
      <c r="L5" s="1"/>
    </row>
    <row r="6" spans="1:12" ht="15" x14ac:dyDescent="0.25">
      <c r="A6" s="9">
        <v>1</v>
      </c>
      <c r="B6" s="124" t="s">
        <v>53</v>
      </c>
      <c r="C6" s="84">
        <v>13</v>
      </c>
      <c r="D6" s="84">
        <v>11.83</v>
      </c>
      <c r="E6" s="84">
        <v>14.3</v>
      </c>
      <c r="F6" s="84">
        <v>17.48</v>
      </c>
      <c r="G6" s="84">
        <v>26.42</v>
      </c>
      <c r="H6" s="84">
        <v>12.64</v>
      </c>
      <c r="I6" s="84">
        <v>30.58</v>
      </c>
      <c r="J6" s="84">
        <v>14.27</v>
      </c>
      <c r="K6" s="125">
        <f t="shared" ref="K6:K17" si="0">ROUND(AVERAGE(C6:J6),2)</f>
        <v>17.57</v>
      </c>
      <c r="L6" s="1"/>
    </row>
    <row r="7" spans="1:12" ht="15" x14ac:dyDescent="0.25">
      <c r="A7" s="9">
        <v>2</v>
      </c>
      <c r="B7" s="72" t="s">
        <v>6</v>
      </c>
      <c r="C7" s="37">
        <v>0</v>
      </c>
      <c r="D7" s="37">
        <v>0</v>
      </c>
      <c r="E7" s="37">
        <v>0.06</v>
      </c>
      <c r="F7" s="37">
        <v>0.14000000000000001</v>
      </c>
      <c r="G7" s="37">
        <v>0.17</v>
      </c>
      <c r="H7" s="37">
        <v>0.02</v>
      </c>
      <c r="I7" s="37">
        <v>0.23</v>
      </c>
      <c r="J7" s="37">
        <v>0.11</v>
      </c>
      <c r="K7" s="126">
        <f t="shared" si="0"/>
        <v>0.09</v>
      </c>
      <c r="L7" s="1"/>
    </row>
    <row r="8" spans="1:12" ht="15" x14ac:dyDescent="0.25">
      <c r="A8" s="9">
        <v>3</v>
      </c>
      <c r="B8" s="72" t="s">
        <v>117</v>
      </c>
      <c r="C8" s="37">
        <v>1.7</v>
      </c>
      <c r="D8" s="37">
        <v>2</v>
      </c>
      <c r="E8" s="37">
        <v>1.92</v>
      </c>
      <c r="F8" s="37">
        <v>2.98</v>
      </c>
      <c r="G8" s="37">
        <v>2.2999999999999998</v>
      </c>
      <c r="H8" s="37">
        <v>0.9</v>
      </c>
      <c r="I8" s="37">
        <v>1.1399999999999999</v>
      </c>
      <c r="J8" s="37">
        <v>1.83</v>
      </c>
      <c r="K8" s="126">
        <f t="shared" si="0"/>
        <v>1.85</v>
      </c>
      <c r="L8" s="1"/>
    </row>
    <row r="9" spans="1:12" ht="15" x14ac:dyDescent="0.25">
      <c r="A9" s="9">
        <v>4</v>
      </c>
      <c r="B9" s="72" t="s">
        <v>3</v>
      </c>
      <c r="C9" s="37">
        <v>0.23</v>
      </c>
      <c r="D9" s="37">
        <v>0.35</v>
      </c>
      <c r="E9" s="37">
        <v>0.11</v>
      </c>
      <c r="F9" s="37">
        <v>0.14000000000000001</v>
      </c>
      <c r="G9" s="37">
        <v>0.4</v>
      </c>
      <c r="H9" s="37">
        <v>0.2</v>
      </c>
      <c r="I9" s="37">
        <v>0.3</v>
      </c>
      <c r="J9" s="37">
        <v>0.13</v>
      </c>
      <c r="K9" s="126">
        <f t="shared" si="0"/>
        <v>0.23</v>
      </c>
      <c r="L9" s="1"/>
    </row>
    <row r="10" spans="1:12" ht="15" x14ac:dyDescent="0.25">
      <c r="A10" s="9">
        <v>5</v>
      </c>
      <c r="B10" s="72" t="s">
        <v>118</v>
      </c>
      <c r="C10" s="37">
        <v>0.1</v>
      </c>
      <c r="D10" s="37">
        <v>0.8</v>
      </c>
      <c r="E10" s="37">
        <v>0.19</v>
      </c>
      <c r="F10" s="37">
        <v>0.13</v>
      </c>
      <c r="G10" s="37">
        <v>0.03</v>
      </c>
      <c r="H10" s="37">
        <v>0.47</v>
      </c>
      <c r="I10" s="37">
        <v>0.95</v>
      </c>
      <c r="J10" s="37">
        <v>7.0000000000000007E-2</v>
      </c>
      <c r="K10" s="126">
        <f t="shared" si="0"/>
        <v>0.34</v>
      </c>
      <c r="L10" s="1"/>
    </row>
    <row r="11" spans="1:12" ht="15" x14ac:dyDescent="0.25">
      <c r="A11" s="9">
        <v>6</v>
      </c>
      <c r="B11" s="72" t="s">
        <v>25</v>
      </c>
      <c r="C11" s="37">
        <v>0.1</v>
      </c>
      <c r="D11" s="37">
        <v>0.4</v>
      </c>
      <c r="E11" s="37">
        <v>0.04</v>
      </c>
      <c r="F11" s="37">
        <v>0.06</v>
      </c>
      <c r="G11" s="37">
        <v>0.08</v>
      </c>
      <c r="H11" s="37">
        <v>0.09</v>
      </c>
      <c r="I11" s="37">
        <v>0.15</v>
      </c>
      <c r="J11" s="37">
        <v>0.03</v>
      </c>
      <c r="K11" s="126">
        <f t="shared" si="0"/>
        <v>0.12</v>
      </c>
      <c r="L11" s="1"/>
    </row>
    <row r="12" spans="1:12" ht="15" x14ac:dyDescent="0.25">
      <c r="A12" s="9">
        <v>7</v>
      </c>
      <c r="B12" s="72" t="s">
        <v>20</v>
      </c>
      <c r="C12" s="37">
        <v>0</v>
      </c>
      <c r="D12" s="37">
        <v>0.9</v>
      </c>
      <c r="E12" s="37">
        <v>0</v>
      </c>
      <c r="F12" s="37">
        <v>0</v>
      </c>
      <c r="G12" s="37">
        <v>0</v>
      </c>
      <c r="H12" s="37">
        <v>0.21</v>
      </c>
      <c r="I12" s="37">
        <v>0.15</v>
      </c>
      <c r="J12" s="37">
        <v>0.72</v>
      </c>
      <c r="K12" s="126">
        <f t="shared" si="0"/>
        <v>0.25</v>
      </c>
      <c r="L12" s="1"/>
    </row>
    <row r="13" spans="1:12" ht="15" customHeight="1" x14ac:dyDescent="0.25">
      <c r="A13" s="9">
        <v>8</v>
      </c>
      <c r="B13" s="72" t="s">
        <v>21</v>
      </c>
      <c r="C13" s="37">
        <v>2.5499999999999998</v>
      </c>
      <c r="D13" s="37">
        <v>0</v>
      </c>
      <c r="E13" s="37">
        <v>0.98</v>
      </c>
      <c r="F13" s="37">
        <v>1.54</v>
      </c>
      <c r="G13" s="37">
        <v>3.73</v>
      </c>
      <c r="H13" s="37">
        <v>0.85</v>
      </c>
      <c r="I13" s="37">
        <v>1.31</v>
      </c>
      <c r="J13" s="37">
        <v>4.79</v>
      </c>
      <c r="K13" s="126">
        <f t="shared" si="0"/>
        <v>1.97</v>
      </c>
      <c r="L13" s="1"/>
    </row>
    <row r="14" spans="1:12" ht="15" x14ac:dyDescent="0.25">
      <c r="A14" s="9">
        <v>9</v>
      </c>
      <c r="B14" s="124" t="s">
        <v>119</v>
      </c>
      <c r="C14" s="84">
        <v>0</v>
      </c>
      <c r="D14" s="84">
        <v>0.15</v>
      </c>
      <c r="E14" s="84">
        <v>0</v>
      </c>
      <c r="F14" s="84">
        <v>0.03</v>
      </c>
      <c r="G14" s="84">
        <v>7.0000000000000007E-2</v>
      </c>
      <c r="H14" s="84">
        <v>0.04</v>
      </c>
      <c r="I14" s="84">
        <v>7.0000000000000007E-2</v>
      </c>
      <c r="J14" s="84">
        <v>0</v>
      </c>
      <c r="K14" s="125">
        <f t="shared" si="0"/>
        <v>0.05</v>
      </c>
      <c r="L14" s="1"/>
    </row>
    <row r="15" spans="1:12" ht="15" x14ac:dyDescent="0.25">
      <c r="A15" s="9">
        <v>10</v>
      </c>
      <c r="B15" s="72" t="s">
        <v>22</v>
      </c>
      <c r="C15" s="37">
        <v>0</v>
      </c>
      <c r="D15" s="37">
        <v>0</v>
      </c>
      <c r="E15" s="37">
        <v>0.08</v>
      </c>
      <c r="F15" s="37">
        <v>0.28999999999999998</v>
      </c>
      <c r="G15" s="37">
        <v>0.06</v>
      </c>
      <c r="H15" s="37">
        <v>0.18</v>
      </c>
      <c r="I15" s="37">
        <v>0.26</v>
      </c>
      <c r="J15" s="37">
        <v>0</v>
      </c>
      <c r="K15" s="126">
        <f t="shared" si="0"/>
        <v>0.11</v>
      </c>
      <c r="L15" s="1"/>
    </row>
    <row r="16" spans="1:12" ht="30" x14ac:dyDescent="0.25">
      <c r="A16" s="9">
        <v>11</v>
      </c>
      <c r="B16" s="72" t="s">
        <v>23</v>
      </c>
      <c r="C16" s="37">
        <v>0</v>
      </c>
      <c r="D16" s="37">
        <v>0</v>
      </c>
      <c r="E16" s="37">
        <v>0</v>
      </c>
      <c r="F16" s="37">
        <v>0.37</v>
      </c>
      <c r="G16" s="37">
        <v>0</v>
      </c>
      <c r="H16" s="37">
        <v>0.35</v>
      </c>
      <c r="I16" s="37">
        <v>2.86</v>
      </c>
      <c r="J16" s="37">
        <v>0.44</v>
      </c>
      <c r="K16" s="126">
        <f t="shared" si="0"/>
        <v>0.5</v>
      </c>
      <c r="L16" s="1"/>
    </row>
    <row r="17" spans="1:12" ht="30" x14ac:dyDescent="0.25">
      <c r="A17" s="9">
        <v>12</v>
      </c>
      <c r="B17" s="72" t="s">
        <v>120</v>
      </c>
      <c r="C17" s="37">
        <v>0</v>
      </c>
      <c r="D17" s="37">
        <v>1.1499999999999999</v>
      </c>
      <c r="E17" s="37">
        <v>0</v>
      </c>
      <c r="F17" s="37">
        <v>0.18</v>
      </c>
      <c r="G17" s="37">
        <v>0.11</v>
      </c>
      <c r="H17" s="37">
        <v>0.28000000000000003</v>
      </c>
      <c r="I17" s="37">
        <v>0.76</v>
      </c>
      <c r="J17" s="37">
        <v>0.16</v>
      </c>
      <c r="K17" s="126">
        <f t="shared" si="0"/>
        <v>0.33</v>
      </c>
      <c r="L17" s="1"/>
    </row>
    <row r="18" spans="1:12" ht="15" x14ac:dyDescent="0.25">
      <c r="A18" s="9"/>
      <c r="B18" s="72" t="s">
        <v>121</v>
      </c>
      <c r="C18" s="37">
        <f>SUM(C6:C17)</f>
        <v>17.68</v>
      </c>
      <c r="D18" s="37">
        <f t="shared" ref="D18:K18" si="1">SUM(D6:D17)</f>
        <v>17.579999999999998</v>
      </c>
      <c r="E18" s="37">
        <f t="shared" si="1"/>
        <v>17.68</v>
      </c>
      <c r="F18" s="37">
        <f t="shared" si="1"/>
        <v>23.34</v>
      </c>
      <c r="G18" s="37">
        <f t="shared" si="1"/>
        <v>33.370000000000005</v>
      </c>
      <c r="H18" s="37">
        <f t="shared" si="1"/>
        <v>16.23</v>
      </c>
      <c r="I18" s="37">
        <f t="shared" si="1"/>
        <v>38.76</v>
      </c>
      <c r="J18" s="37">
        <f t="shared" si="1"/>
        <v>22.55</v>
      </c>
      <c r="K18" s="37">
        <f t="shared" si="1"/>
        <v>23.41</v>
      </c>
      <c r="L18" s="1"/>
    </row>
    <row r="19" spans="1:12" ht="15" x14ac:dyDescent="0.25">
      <c r="A19" s="9"/>
      <c r="B19" s="72"/>
      <c r="C19" s="37"/>
      <c r="D19" s="37"/>
      <c r="E19" s="37"/>
      <c r="F19" s="37"/>
      <c r="G19" s="37"/>
      <c r="H19" s="37"/>
      <c r="I19" s="37"/>
      <c r="J19" s="37"/>
      <c r="K19" s="37"/>
      <c r="L19" s="1"/>
    </row>
    <row r="20" spans="1:12" ht="34.5" customHeight="1" x14ac:dyDescent="0.25">
      <c r="A20" s="9"/>
      <c r="B20" s="72" t="s">
        <v>122</v>
      </c>
      <c r="C20" s="37">
        <f>C7+C8+C9+C10+C11+C12+C13+C15+C16+C17</f>
        <v>4.68</v>
      </c>
      <c r="D20" s="37">
        <f t="shared" ref="D20:K20" si="2">D7+D8+D9+D10+D11+D12+D13+D15+D16+D17</f>
        <v>5.6</v>
      </c>
      <c r="E20" s="37">
        <f t="shared" si="2"/>
        <v>3.38</v>
      </c>
      <c r="F20" s="37">
        <f t="shared" si="2"/>
        <v>5.83</v>
      </c>
      <c r="G20" s="37">
        <f t="shared" si="2"/>
        <v>6.879999999999999</v>
      </c>
      <c r="H20" s="37">
        <f t="shared" si="2"/>
        <v>3.5500000000000007</v>
      </c>
      <c r="I20" s="37">
        <f t="shared" si="2"/>
        <v>8.11</v>
      </c>
      <c r="J20" s="37">
        <f t="shared" si="2"/>
        <v>8.2799999999999994</v>
      </c>
      <c r="K20" s="37">
        <f t="shared" si="2"/>
        <v>5.7900000000000009</v>
      </c>
      <c r="L20" s="1"/>
    </row>
    <row r="21" spans="1:12" ht="15" x14ac:dyDescent="0.25">
      <c r="A21" s="9"/>
      <c r="B21" s="72" t="s">
        <v>123</v>
      </c>
      <c r="C21" s="37"/>
      <c r="D21" s="37"/>
      <c r="E21" s="37"/>
      <c r="F21" s="37"/>
      <c r="G21" s="37"/>
      <c r="H21" s="37"/>
      <c r="I21" s="37"/>
      <c r="J21" s="37"/>
      <c r="K21" s="37">
        <v>0.36</v>
      </c>
      <c r="L21" s="1"/>
    </row>
    <row r="22" spans="1:12" ht="15" x14ac:dyDescent="0.25">
      <c r="A22" s="9"/>
      <c r="B22" s="72" t="s">
        <v>124</v>
      </c>
      <c r="C22" s="37"/>
      <c r="D22" s="37"/>
      <c r="E22" s="37"/>
      <c r="F22" s="37"/>
      <c r="G22" s="37"/>
      <c r="H22" s="37"/>
      <c r="I22" s="37"/>
      <c r="J22" s="37"/>
      <c r="K22" s="37">
        <v>0.78</v>
      </c>
      <c r="L22" s="1"/>
    </row>
    <row r="23" spans="1:12" ht="15" x14ac:dyDescent="0.25">
      <c r="A23" s="127"/>
      <c r="B23" s="127" t="s">
        <v>121</v>
      </c>
      <c r="C23" s="127"/>
      <c r="D23" s="127"/>
      <c r="E23" s="127"/>
      <c r="F23" s="127"/>
      <c r="G23" s="127"/>
      <c r="H23" s="127"/>
      <c r="I23" s="127"/>
      <c r="J23" s="127"/>
      <c r="K23" s="128">
        <f>K20+K21+K22</f>
        <v>6.9300000000000015</v>
      </c>
      <c r="L23" s="3"/>
    </row>
    <row r="24" spans="1:12" ht="15" x14ac:dyDescent="0.25">
      <c r="A24" s="1"/>
      <c r="B24" s="1"/>
      <c r="C24" s="1"/>
      <c r="D24" s="1"/>
      <c r="E24" s="1"/>
      <c r="F24" s="1"/>
      <c r="G24" s="1"/>
      <c r="H24" s="1"/>
      <c r="I24" s="1"/>
      <c r="J24" s="1"/>
      <c r="K24" s="1"/>
      <c r="L24" s="3"/>
    </row>
    <row r="25" spans="1:12" ht="15" x14ac:dyDescent="0.25">
      <c r="A25" s="421" t="s">
        <v>106</v>
      </c>
      <c r="B25" s="421" t="s">
        <v>10</v>
      </c>
      <c r="C25" s="422" t="s">
        <v>125</v>
      </c>
      <c r="D25" s="422"/>
      <c r="E25" s="422"/>
      <c r="F25" s="422"/>
      <c r="G25" s="422"/>
      <c r="H25" s="422"/>
      <c r="I25" s="422"/>
      <c r="J25" s="422"/>
      <c r="K25" s="422"/>
      <c r="L25" s="423"/>
    </row>
    <row r="26" spans="1:12" ht="30" x14ac:dyDescent="0.2">
      <c r="A26" s="421"/>
      <c r="B26" s="421"/>
      <c r="C26" s="123" t="s">
        <v>108</v>
      </c>
      <c r="D26" s="123" t="s">
        <v>109</v>
      </c>
      <c r="E26" s="123" t="s">
        <v>110</v>
      </c>
      <c r="F26" s="123" t="s">
        <v>111</v>
      </c>
      <c r="G26" s="123" t="s">
        <v>112</v>
      </c>
      <c r="H26" s="123" t="s">
        <v>113</v>
      </c>
      <c r="I26" s="123" t="s">
        <v>114</v>
      </c>
      <c r="J26" s="123" t="s">
        <v>115</v>
      </c>
      <c r="K26" s="123" t="s">
        <v>126</v>
      </c>
      <c r="L26" s="424"/>
    </row>
    <row r="27" spans="1:12" ht="15" x14ac:dyDescent="0.25">
      <c r="A27" s="9">
        <v>1</v>
      </c>
      <c r="B27" s="129" t="s">
        <v>53</v>
      </c>
      <c r="C27" s="84">
        <v>13.19</v>
      </c>
      <c r="D27" s="84">
        <v>12.03</v>
      </c>
      <c r="E27" s="84">
        <v>14.3</v>
      </c>
      <c r="F27" s="84">
        <v>17.68</v>
      </c>
      <c r="G27" s="84">
        <v>34.42</v>
      </c>
      <c r="H27" s="84">
        <v>12.98</v>
      </c>
      <c r="I27" s="84">
        <v>33.57</v>
      </c>
      <c r="J27" s="84">
        <v>14.7</v>
      </c>
      <c r="K27" s="84">
        <f t="shared" ref="K27:K38" si="3">ROUND(AVERAGE(C27:J27),2)</f>
        <v>19.11</v>
      </c>
      <c r="L27" s="130"/>
    </row>
    <row r="28" spans="1:12" ht="15" x14ac:dyDescent="0.25">
      <c r="A28" s="9">
        <v>2</v>
      </c>
      <c r="B28" s="107" t="s">
        <v>6</v>
      </c>
      <c r="C28" s="37">
        <v>0</v>
      </c>
      <c r="D28" s="37">
        <v>0</v>
      </c>
      <c r="E28" s="37">
        <v>0.06</v>
      </c>
      <c r="F28" s="37">
        <v>0.15</v>
      </c>
      <c r="G28" s="37">
        <v>0.21</v>
      </c>
      <c r="H28" s="37">
        <v>0.02</v>
      </c>
      <c r="I28" s="37">
        <v>0.12</v>
      </c>
      <c r="J28" s="37">
        <v>0.11</v>
      </c>
      <c r="K28" s="37">
        <f t="shared" si="3"/>
        <v>0.08</v>
      </c>
      <c r="L28" s="130"/>
    </row>
    <row r="29" spans="1:12" ht="15" x14ac:dyDescent="0.25">
      <c r="A29" s="9">
        <v>3</v>
      </c>
      <c r="B29" s="107" t="s">
        <v>117</v>
      </c>
      <c r="C29" s="37">
        <v>1.7</v>
      </c>
      <c r="D29" s="37">
        <v>2</v>
      </c>
      <c r="E29" s="37">
        <v>1.92</v>
      </c>
      <c r="F29" s="37">
        <v>3.09</v>
      </c>
      <c r="G29" s="37">
        <v>3.25</v>
      </c>
      <c r="H29" s="37">
        <v>1.0900000000000001</v>
      </c>
      <c r="I29" s="37">
        <v>1.37</v>
      </c>
      <c r="J29" s="37">
        <v>0.96</v>
      </c>
      <c r="K29" s="37">
        <f t="shared" si="3"/>
        <v>1.92</v>
      </c>
      <c r="L29" s="130"/>
    </row>
    <row r="30" spans="1:12" ht="15" x14ac:dyDescent="0.25">
      <c r="A30" s="9">
        <v>4</v>
      </c>
      <c r="B30" s="107" t="s">
        <v>3</v>
      </c>
      <c r="C30" s="37">
        <v>0.23</v>
      </c>
      <c r="D30" s="37">
        <v>0.35</v>
      </c>
      <c r="E30" s="37">
        <v>0.11</v>
      </c>
      <c r="F30" s="37">
        <v>0.13</v>
      </c>
      <c r="G30" s="37">
        <v>0.51</v>
      </c>
      <c r="H30" s="37">
        <v>0.19</v>
      </c>
      <c r="I30" s="37">
        <v>0.31</v>
      </c>
      <c r="J30" s="37">
        <v>0.04</v>
      </c>
      <c r="K30" s="37">
        <f t="shared" si="3"/>
        <v>0.23</v>
      </c>
      <c r="L30" s="130"/>
    </row>
    <row r="31" spans="1:12" ht="15" x14ac:dyDescent="0.25">
      <c r="A31" s="9">
        <v>5</v>
      </c>
      <c r="B31" s="107" t="s">
        <v>118</v>
      </c>
      <c r="C31" s="37">
        <v>0.1</v>
      </c>
      <c r="D31" s="37">
        <v>0.8</v>
      </c>
      <c r="E31" s="37">
        <v>0.19</v>
      </c>
      <c r="F31" s="37">
        <v>0.25</v>
      </c>
      <c r="G31" s="37">
        <v>0.04</v>
      </c>
      <c r="H31" s="37">
        <v>0.56000000000000005</v>
      </c>
      <c r="I31" s="37">
        <v>0.76</v>
      </c>
      <c r="J31" s="37">
        <v>0.06</v>
      </c>
      <c r="K31" s="37">
        <f t="shared" si="3"/>
        <v>0.35</v>
      </c>
      <c r="L31" s="130"/>
    </row>
    <row r="32" spans="1:12" ht="15" x14ac:dyDescent="0.25">
      <c r="A32" s="9">
        <v>6</v>
      </c>
      <c r="B32" s="107" t="s">
        <v>25</v>
      </c>
      <c r="C32" s="37">
        <v>0.1</v>
      </c>
      <c r="D32" s="37">
        <v>0.4</v>
      </c>
      <c r="E32" s="37">
        <v>0.04</v>
      </c>
      <c r="F32" s="37">
        <v>0.02</v>
      </c>
      <c r="G32" s="37">
        <v>0.1</v>
      </c>
      <c r="H32" s="37">
        <v>0.09</v>
      </c>
      <c r="I32" s="37">
        <v>0.14000000000000001</v>
      </c>
      <c r="J32" s="37">
        <v>0.16</v>
      </c>
      <c r="K32" s="37">
        <f t="shared" si="3"/>
        <v>0.13</v>
      </c>
      <c r="L32" s="130"/>
    </row>
    <row r="33" spans="1:12" ht="15" x14ac:dyDescent="0.25">
      <c r="A33" s="9">
        <v>7</v>
      </c>
      <c r="B33" s="107" t="s">
        <v>20</v>
      </c>
      <c r="C33" s="37">
        <v>0</v>
      </c>
      <c r="D33" s="37">
        <v>0.9</v>
      </c>
      <c r="E33" s="37">
        <v>0</v>
      </c>
      <c r="F33" s="37">
        <v>0</v>
      </c>
      <c r="G33" s="37">
        <v>0</v>
      </c>
      <c r="H33" s="37">
        <v>0.21</v>
      </c>
      <c r="I33" s="37">
        <v>0.15</v>
      </c>
      <c r="J33" s="37">
        <v>0.44</v>
      </c>
      <c r="K33" s="37">
        <f t="shared" si="3"/>
        <v>0.21</v>
      </c>
      <c r="L33" s="130"/>
    </row>
    <row r="34" spans="1:12" ht="15" customHeight="1" x14ac:dyDescent="0.2">
      <c r="A34" s="9">
        <v>8</v>
      </c>
      <c r="B34" s="78" t="s">
        <v>21</v>
      </c>
      <c r="C34" s="37">
        <v>2.5499999999999998</v>
      </c>
      <c r="D34" s="37">
        <v>0</v>
      </c>
      <c r="E34" s="37">
        <v>0.98</v>
      </c>
      <c r="F34" s="37">
        <v>1.83</v>
      </c>
      <c r="G34" s="37">
        <v>4.3899999999999997</v>
      </c>
      <c r="H34" s="37">
        <v>0.88</v>
      </c>
      <c r="I34" s="37">
        <v>0.9</v>
      </c>
      <c r="J34" s="37">
        <v>4.28</v>
      </c>
      <c r="K34" s="37">
        <f t="shared" si="3"/>
        <v>1.98</v>
      </c>
      <c r="L34" s="130"/>
    </row>
    <row r="35" spans="1:12" ht="15" x14ac:dyDescent="0.25">
      <c r="A35" s="9">
        <v>9</v>
      </c>
      <c r="B35" s="129" t="s">
        <v>119</v>
      </c>
      <c r="C35" s="84">
        <v>0</v>
      </c>
      <c r="D35" s="84">
        <v>0.15</v>
      </c>
      <c r="E35" s="84">
        <v>0</v>
      </c>
      <c r="F35" s="84">
        <v>0</v>
      </c>
      <c r="G35" s="84">
        <v>0.08</v>
      </c>
      <c r="H35" s="84">
        <v>0.02</v>
      </c>
      <c r="I35" s="84">
        <v>0.06</v>
      </c>
      <c r="J35" s="84">
        <v>0</v>
      </c>
      <c r="K35" s="84">
        <f t="shared" si="3"/>
        <v>0.04</v>
      </c>
      <c r="L35" s="130"/>
    </row>
    <row r="36" spans="1:12" ht="15" x14ac:dyDescent="0.25">
      <c r="A36" s="9">
        <v>10</v>
      </c>
      <c r="B36" s="107" t="s">
        <v>22</v>
      </c>
      <c r="C36" s="37">
        <v>0</v>
      </c>
      <c r="D36" s="37">
        <v>0</v>
      </c>
      <c r="E36" s="37">
        <v>0.08</v>
      </c>
      <c r="F36" s="37">
        <v>0.56000000000000005</v>
      </c>
      <c r="G36" s="37">
        <v>0.01</v>
      </c>
      <c r="H36" s="37">
        <v>0.16</v>
      </c>
      <c r="I36" s="37">
        <v>0.28000000000000003</v>
      </c>
      <c r="J36" s="37">
        <v>0</v>
      </c>
      <c r="K36" s="37">
        <f t="shared" si="3"/>
        <v>0.14000000000000001</v>
      </c>
      <c r="L36" s="130"/>
    </row>
    <row r="37" spans="1:12" ht="30" x14ac:dyDescent="0.25">
      <c r="A37" s="9">
        <v>11</v>
      </c>
      <c r="B37" s="107" t="s">
        <v>23</v>
      </c>
      <c r="C37" s="37">
        <v>0</v>
      </c>
      <c r="D37" s="37">
        <v>0</v>
      </c>
      <c r="E37" s="37">
        <v>0</v>
      </c>
      <c r="F37" s="37">
        <v>0.27</v>
      </c>
      <c r="G37" s="37">
        <v>0</v>
      </c>
      <c r="H37" s="37">
        <v>0.75</v>
      </c>
      <c r="I37" s="37">
        <v>2.76</v>
      </c>
      <c r="J37" s="37">
        <v>0.64</v>
      </c>
      <c r="K37" s="37">
        <f t="shared" si="3"/>
        <v>0.55000000000000004</v>
      </c>
    </row>
    <row r="38" spans="1:12" ht="30" x14ac:dyDescent="0.25">
      <c r="A38" s="9">
        <v>12</v>
      </c>
      <c r="B38" s="107" t="s">
        <v>120</v>
      </c>
      <c r="C38" s="37">
        <v>0</v>
      </c>
      <c r="D38" s="37">
        <v>1.1499999999999999</v>
      </c>
      <c r="E38" s="37">
        <v>0</v>
      </c>
      <c r="F38" s="37">
        <v>0.28999999999999998</v>
      </c>
      <c r="G38" s="37">
        <v>0.22</v>
      </c>
      <c r="H38" s="37">
        <v>0.28000000000000003</v>
      </c>
      <c r="I38" s="37">
        <v>0.67</v>
      </c>
      <c r="J38" s="37">
        <v>0.16</v>
      </c>
      <c r="K38" s="37">
        <f t="shared" si="3"/>
        <v>0.35</v>
      </c>
      <c r="L38" s="130"/>
    </row>
    <row r="39" spans="1:12" ht="15" x14ac:dyDescent="0.25">
      <c r="A39" s="9"/>
      <c r="B39" s="107" t="s">
        <v>121</v>
      </c>
      <c r="C39" s="37">
        <f>SUM(C27:C38)</f>
        <v>17.869999999999997</v>
      </c>
      <c r="D39" s="37">
        <f t="shared" ref="D39:K39" si="4">SUM(D27:D38)</f>
        <v>17.779999999999998</v>
      </c>
      <c r="E39" s="37">
        <f t="shared" si="4"/>
        <v>17.68</v>
      </c>
      <c r="F39" s="37">
        <f t="shared" si="4"/>
        <v>24.269999999999996</v>
      </c>
      <c r="G39" s="37">
        <f t="shared" si="4"/>
        <v>43.23</v>
      </c>
      <c r="H39" s="37">
        <f t="shared" si="4"/>
        <v>17.23</v>
      </c>
      <c r="I39" s="37">
        <f t="shared" si="4"/>
        <v>41.089999999999996</v>
      </c>
      <c r="J39" s="37">
        <f t="shared" si="4"/>
        <v>21.55</v>
      </c>
      <c r="K39" s="37">
        <f t="shared" si="4"/>
        <v>25.090000000000003</v>
      </c>
      <c r="L39" s="130"/>
    </row>
    <row r="40" spans="1:12" ht="15" x14ac:dyDescent="0.25">
      <c r="A40" s="131"/>
      <c r="B40" s="132"/>
      <c r="C40" s="133"/>
      <c r="D40" s="133"/>
      <c r="E40" s="133"/>
      <c r="F40" s="133"/>
      <c r="G40" s="133"/>
      <c r="H40" s="133"/>
      <c r="I40" s="133"/>
      <c r="J40" s="133"/>
      <c r="K40" s="133"/>
      <c r="L40" s="130"/>
    </row>
    <row r="41" spans="1:12" ht="30" x14ac:dyDescent="0.2">
      <c r="A41" s="9"/>
      <c r="B41" s="72" t="s">
        <v>122</v>
      </c>
      <c r="C41" s="37">
        <f>C28+C29+C30+C31+C32+C33+C34+C36+C37+C38</f>
        <v>4.68</v>
      </c>
      <c r="D41" s="37">
        <f t="shared" ref="D41:K41" si="5">D28+D29+D30+D31+D32+D33+D34+D36+D37+D38</f>
        <v>5.6</v>
      </c>
      <c r="E41" s="37">
        <f t="shared" si="5"/>
        <v>3.38</v>
      </c>
      <c r="F41" s="37">
        <f t="shared" si="5"/>
        <v>6.589999999999999</v>
      </c>
      <c r="G41" s="37">
        <f t="shared" si="5"/>
        <v>8.73</v>
      </c>
      <c r="H41" s="37">
        <f t="shared" si="5"/>
        <v>4.2300000000000004</v>
      </c>
      <c r="I41" s="37">
        <f t="shared" si="5"/>
        <v>7.46</v>
      </c>
      <c r="J41" s="37">
        <f t="shared" si="5"/>
        <v>6.8500000000000005</v>
      </c>
      <c r="K41" s="37">
        <f t="shared" si="5"/>
        <v>5.9399999999999995</v>
      </c>
      <c r="L41" s="130"/>
    </row>
    <row r="42" spans="1:12" ht="15" x14ac:dyDescent="0.2">
      <c r="A42" s="9"/>
      <c r="B42" s="72" t="s">
        <v>123</v>
      </c>
      <c r="C42" s="37"/>
      <c r="D42" s="37"/>
      <c r="E42" s="37"/>
      <c r="F42" s="37"/>
      <c r="G42" s="37"/>
      <c r="H42" s="37"/>
      <c r="I42" s="37"/>
      <c r="J42" s="37"/>
      <c r="K42" s="37">
        <v>0.36</v>
      </c>
      <c r="L42" s="130"/>
    </row>
    <row r="43" spans="1:12" ht="15" x14ac:dyDescent="0.2">
      <c r="A43" s="9"/>
      <c r="B43" s="72" t="s">
        <v>124</v>
      </c>
      <c r="C43" s="37"/>
      <c r="D43" s="37"/>
      <c r="E43" s="37"/>
      <c r="F43" s="37"/>
      <c r="G43" s="37"/>
      <c r="H43" s="37"/>
      <c r="I43" s="37"/>
      <c r="J43" s="37"/>
      <c r="K43" s="37">
        <v>0.78</v>
      </c>
      <c r="L43" s="130"/>
    </row>
    <row r="44" spans="1:12" x14ac:dyDescent="0.2">
      <c r="A44" s="127"/>
      <c r="B44" s="127" t="s">
        <v>121</v>
      </c>
      <c r="C44" s="127"/>
      <c r="D44" s="127"/>
      <c r="E44" s="127"/>
      <c r="F44" s="127"/>
      <c r="G44" s="127"/>
      <c r="H44" s="127"/>
      <c r="I44" s="127"/>
      <c r="J44" s="127"/>
      <c r="K44" s="128">
        <f>K41+K42+K43</f>
        <v>7.08</v>
      </c>
      <c r="L44" s="130"/>
    </row>
    <row r="45" spans="1:12" ht="15" x14ac:dyDescent="0.25">
      <c r="A45" s="5"/>
      <c r="B45" s="134"/>
      <c r="C45" s="130"/>
      <c r="D45" s="130"/>
      <c r="E45" s="130"/>
      <c r="F45" s="130"/>
      <c r="G45" s="130"/>
      <c r="H45" s="130"/>
      <c r="I45" s="130"/>
      <c r="J45" s="130"/>
      <c r="K45" s="130"/>
      <c r="L45" s="130"/>
    </row>
    <row r="46" spans="1:12" ht="15" x14ac:dyDescent="0.25">
      <c r="A46" s="5"/>
      <c r="B46" s="134"/>
      <c r="C46" s="130"/>
      <c r="D46" s="130"/>
      <c r="E46" s="130"/>
      <c r="F46" s="130"/>
      <c r="G46" s="130"/>
      <c r="H46" s="130"/>
      <c r="I46" s="130"/>
      <c r="J46" s="130"/>
      <c r="K46" s="130"/>
      <c r="L46" s="130"/>
    </row>
    <row r="47" spans="1:12" ht="15" x14ac:dyDescent="0.25">
      <c r="A47" s="421" t="s">
        <v>106</v>
      </c>
      <c r="B47" s="421" t="s">
        <v>10</v>
      </c>
      <c r="C47" s="422" t="s">
        <v>127</v>
      </c>
      <c r="D47" s="422"/>
      <c r="E47" s="422"/>
      <c r="F47" s="422"/>
      <c r="G47" s="422"/>
      <c r="H47" s="422"/>
      <c r="I47" s="422"/>
      <c r="J47" s="422"/>
      <c r="K47" s="422"/>
      <c r="L47" s="425" t="s">
        <v>128</v>
      </c>
    </row>
    <row r="48" spans="1:12" ht="30" x14ac:dyDescent="0.2">
      <c r="A48" s="421"/>
      <c r="B48" s="421"/>
      <c r="C48" s="123" t="s">
        <v>108</v>
      </c>
      <c r="D48" s="123" t="s">
        <v>109</v>
      </c>
      <c r="E48" s="123" t="s">
        <v>110</v>
      </c>
      <c r="F48" s="123" t="s">
        <v>111</v>
      </c>
      <c r="G48" s="123" t="s">
        <v>112</v>
      </c>
      <c r="H48" s="123" t="s">
        <v>113</v>
      </c>
      <c r="I48" s="123" t="s">
        <v>114</v>
      </c>
      <c r="J48" s="123" t="s">
        <v>115</v>
      </c>
      <c r="K48" s="123" t="s">
        <v>129</v>
      </c>
      <c r="L48" s="425"/>
    </row>
    <row r="49" spans="1:12" ht="15" x14ac:dyDescent="0.25">
      <c r="A49" s="9">
        <v>1</v>
      </c>
      <c r="B49" s="129" t="s">
        <v>53</v>
      </c>
      <c r="C49" s="84">
        <v>16.12</v>
      </c>
      <c r="D49" s="84">
        <v>16.86</v>
      </c>
      <c r="E49" s="84">
        <v>18.16</v>
      </c>
      <c r="F49" s="84">
        <v>15.79</v>
      </c>
      <c r="G49" s="84">
        <v>42.37</v>
      </c>
      <c r="H49" s="84">
        <v>12.96</v>
      </c>
      <c r="I49" s="84">
        <v>33.4</v>
      </c>
      <c r="J49" s="84">
        <v>15.02</v>
      </c>
      <c r="K49" s="84">
        <f t="shared" ref="K49:K60" si="6">ROUND(AVERAGE(C49:J49),2)</f>
        <v>21.34</v>
      </c>
      <c r="L49" s="135">
        <f t="shared" ref="L49:L60" si="7">ROUND((K6+K49+K27)/3,2)</f>
        <v>19.34</v>
      </c>
    </row>
    <row r="50" spans="1:12" ht="15" x14ac:dyDescent="0.25">
      <c r="A50" s="9">
        <v>2</v>
      </c>
      <c r="B50" s="107" t="s">
        <v>6</v>
      </c>
      <c r="C50" s="37">
        <v>0</v>
      </c>
      <c r="D50" s="37">
        <v>0</v>
      </c>
      <c r="E50" s="37">
        <v>0.08</v>
      </c>
      <c r="F50" s="37">
        <v>0.1</v>
      </c>
      <c r="G50" s="37">
        <v>0.19</v>
      </c>
      <c r="H50" s="37">
        <v>0.02</v>
      </c>
      <c r="I50" s="37">
        <v>0.12</v>
      </c>
      <c r="J50" s="37">
        <v>0.06</v>
      </c>
      <c r="K50" s="37">
        <f t="shared" si="6"/>
        <v>7.0000000000000007E-2</v>
      </c>
      <c r="L50" s="136">
        <f t="shared" si="7"/>
        <v>0.08</v>
      </c>
    </row>
    <row r="51" spans="1:12" ht="15" x14ac:dyDescent="0.25">
      <c r="A51" s="9">
        <v>3</v>
      </c>
      <c r="B51" s="107" t="s">
        <v>117</v>
      </c>
      <c r="C51" s="37">
        <v>1.7</v>
      </c>
      <c r="D51" s="37">
        <v>1.42</v>
      </c>
      <c r="E51" s="37">
        <v>2.0699999999999998</v>
      </c>
      <c r="F51" s="37">
        <v>3.28</v>
      </c>
      <c r="G51" s="37">
        <v>3.78</v>
      </c>
      <c r="H51" s="37">
        <v>1.1499999999999999</v>
      </c>
      <c r="I51" s="37">
        <v>1.36</v>
      </c>
      <c r="J51" s="37">
        <v>2.6</v>
      </c>
      <c r="K51" s="37">
        <f t="shared" si="6"/>
        <v>2.17</v>
      </c>
      <c r="L51" s="136">
        <f t="shared" si="7"/>
        <v>1.98</v>
      </c>
    </row>
    <row r="52" spans="1:12" ht="15" x14ac:dyDescent="0.25">
      <c r="A52" s="9">
        <v>4</v>
      </c>
      <c r="B52" s="107" t="s">
        <v>3</v>
      </c>
      <c r="C52" s="37">
        <v>0.25</v>
      </c>
      <c r="D52" s="37">
        <v>0.1</v>
      </c>
      <c r="E52" s="37">
        <v>0.45</v>
      </c>
      <c r="F52" s="37">
        <v>0.1</v>
      </c>
      <c r="G52" s="37">
        <v>0.82</v>
      </c>
      <c r="H52" s="37">
        <v>0.18</v>
      </c>
      <c r="I52" s="37">
        <v>0.28000000000000003</v>
      </c>
      <c r="J52" s="37">
        <v>0.02</v>
      </c>
      <c r="K52" s="37">
        <f t="shared" si="6"/>
        <v>0.28000000000000003</v>
      </c>
      <c r="L52" s="136">
        <f t="shared" si="7"/>
        <v>0.25</v>
      </c>
    </row>
    <row r="53" spans="1:12" ht="15" x14ac:dyDescent="0.25">
      <c r="A53" s="9">
        <v>5</v>
      </c>
      <c r="B53" s="107" t="s">
        <v>118</v>
      </c>
      <c r="C53" s="37">
        <v>0.1</v>
      </c>
      <c r="D53" s="37">
        <v>0.3</v>
      </c>
      <c r="E53" s="37">
        <v>0.4</v>
      </c>
      <c r="F53" s="37">
        <v>0.21</v>
      </c>
      <c r="G53" s="37">
        <v>0.09</v>
      </c>
      <c r="H53" s="37">
        <v>0.57999999999999996</v>
      </c>
      <c r="I53" s="37">
        <v>0.74</v>
      </c>
      <c r="J53" s="37">
        <v>0.06</v>
      </c>
      <c r="K53" s="37">
        <f t="shared" si="6"/>
        <v>0.31</v>
      </c>
      <c r="L53" s="136">
        <f t="shared" si="7"/>
        <v>0.33</v>
      </c>
    </row>
    <row r="54" spans="1:12" ht="15" x14ac:dyDescent="0.25">
      <c r="A54" s="9">
        <v>6</v>
      </c>
      <c r="B54" s="107" t="s">
        <v>25</v>
      </c>
      <c r="C54" s="37">
        <v>0.1</v>
      </c>
      <c r="D54" s="37">
        <v>0.28000000000000003</v>
      </c>
      <c r="E54" s="37">
        <v>0.05</v>
      </c>
      <c r="F54" s="37">
        <v>0.04</v>
      </c>
      <c r="G54" s="37">
        <v>0.12</v>
      </c>
      <c r="H54" s="37">
        <v>0.08</v>
      </c>
      <c r="I54" s="37">
        <v>0.12</v>
      </c>
      <c r="J54" s="37">
        <v>0.13</v>
      </c>
      <c r="K54" s="37">
        <f t="shared" si="6"/>
        <v>0.12</v>
      </c>
      <c r="L54" s="136">
        <f t="shared" si="7"/>
        <v>0.12</v>
      </c>
    </row>
    <row r="55" spans="1:12" ht="15" x14ac:dyDescent="0.25">
      <c r="A55" s="9">
        <v>7</v>
      </c>
      <c r="B55" s="107" t="s">
        <v>20</v>
      </c>
      <c r="C55" s="37">
        <v>0</v>
      </c>
      <c r="D55" s="37">
        <v>0.85</v>
      </c>
      <c r="E55" s="37">
        <v>0</v>
      </c>
      <c r="F55" s="37">
        <v>0</v>
      </c>
      <c r="G55" s="37">
        <v>0</v>
      </c>
      <c r="H55" s="37">
        <v>0.16</v>
      </c>
      <c r="I55" s="37">
        <v>0.14000000000000001</v>
      </c>
      <c r="J55" s="37">
        <v>0</v>
      </c>
      <c r="K55" s="37">
        <f t="shared" si="6"/>
        <v>0.14000000000000001</v>
      </c>
      <c r="L55" s="136">
        <f t="shared" si="7"/>
        <v>0.2</v>
      </c>
    </row>
    <row r="56" spans="1:12" ht="15" customHeight="1" x14ac:dyDescent="0.2">
      <c r="A56" s="9">
        <v>8</v>
      </c>
      <c r="B56" s="78" t="s">
        <v>21</v>
      </c>
      <c r="C56" s="37">
        <v>2.44</v>
      </c>
      <c r="D56" s="37">
        <v>0</v>
      </c>
      <c r="E56" s="37">
        <v>1.05</v>
      </c>
      <c r="F56" s="37">
        <v>1.43</v>
      </c>
      <c r="G56" s="37">
        <v>5.18</v>
      </c>
      <c r="H56" s="37">
        <v>0.91</v>
      </c>
      <c r="I56" s="37">
        <v>1.04</v>
      </c>
      <c r="J56" s="37">
        <v>3.63</v>
      </c>
      <c r="K56" s="37">
        <f t="shared" si="6"/>
        <v>1.96</v>
      </c>
      <c r="L56" s="136">
        <f t="shared" si="7"/>
        <v>1.97</v>
      </c>
    </row>
    <row r="57" spans="1:12" ht="15" x14ac:dyDescent="0.25">
      <c r="A57" s="9">
        <v>9</v>
      </c>
      <c r="B57" s="129" t="s">
        <v>119</v>
      </c>
      <c r="C57" s="84">
        <v>0</v>
      </c>
      <c r="D57" s="84">
        <v>0</v>
      </c>
      <c r="E57" s="84">
        <v>0</v>
      </c>
      <c r="F57" s="84">
        <v>0</v>
      </c>
      <c r="G57" s="84">
        <v>0.09</v>
      </c>
      <c r="H57" s="84">
        <v>0.01</v>
      </c>
      <c r="I57" s="84">
        <v>0.02</v>
      </c>
      <c r="J57" s="84">
        <v>0</v>
      </c>
      <c r="K57" s="84">
        <f t="shared" si="6"/>
        <v>0.02</v>
      </c>
      <c r="L57" s="135">
        <f t="shared" si="7"/>
        <v>0.04</v>
      </c>
    </row>
    <row r="58" spans="1:12" ht="15" x14ac:dyDescent="0.25">
      <c r="A58" s="9">
        <v>10</v>
      </c>
      <c r="B58" s="107" t="s">
        <v>22</v>
      </c>
      <c r="C58" s="37">
        <v>0</v>
      </c>
      <c r="D58" s="37">
        <v>0</v>
      </c>
      <c r="E58" s="37">
        <v>0.1</v>
      </c>
      <c r="F58" s="37">
        <v>0.41</v>
      </c>
      <c r="G58" s="37">
        <v>0.02</v>
      </c>
      <c r="H58" s="37">
        <v>0.27</v>
      </c>
      <c r="I58" s="37">
        <v>0.44</v>
      </c>
      <c r="J58" s="37">
        <v>0</v>
      </c>
      <c r="K58" s="37">
        <f t="shared" si="6"/>
        <v>0.16</v>
      </c>
      <c r="L58" s="136">
        <f t="shared" si="7"/>
        <v>0.14000000000000001</v>
      </c>
    </row>
    <row r="59" spans="1:12" ht="30" x14ac:dyDescent="0.25">
      <c r="A59" s="9">
        <v>11</v>
      </c>
      <c r="B59" s="107" t="s">
        <v>23</v>
      </c>
      <c r="C59" s="37">
        <v>0</v>
      </c>
      <c r="D59" s="37">
        <v>0.4</v>
      </c>
      <c r="E59" s="37">
        <v>0.37</v>
      </c>
      <c r="F59" s="37">
        <v>0.2</v>
      </c>
      <c r="G59" s="37">
        <v>0</v>
      </c>
      <c r="H59" s="37">
        <v>0.72</v>
      </c>
      <c r="I59" s="37">
        <v>2.74</v>
      </c>
      <c r="J59" s="37">
        <v>0.46</v>
      </c>
      <c r="K59" s="37">
        <f t="shared" si="6"/>
        <v>0.61</v>
      </c>
      <c r="L59" s="136">
        <f t="shared" si="7"/>
        <v>0.55000000000000004</v>
      </c>
    </row>
    <row r="60" spans="1:12" ht="30" x14ac:dyDescent="0.25">
      <c r="A60" s="9">
        <v>12</v>
      </c>
      <c r="B60" s="107" t="s">
        <v>120</v>
      </c>
      <c r="C60" s="37">
        <v>0</v>
      </c>
      <c r="D60" s="37">
        <v>0.5</v>
      </c>
      <c r="E60" s="37">
        <v>0.25</v>
      </c>
      <c r="F60" s="37">
        <v>0.22</v>
      </c>
      <c r="G60" s="37">
        <v>0.24</v>
      </c>
      <c r="H60" s="37">
        <v>0.19</v>
      </c>
      <c r="I60" s="37">
        <v>0.39</v>
      </c>
      <c r="J60" s="37">
        <v>0.04</v>
      </c>
      <c r="K60" s="37">
        <f t="shared" si="6"/>
        <v>0.23</v>
      </c>
      <c r="L60" s="136">
        <f t="shared" si="7"/>
        <v>0.3</v>
      </c>
    </row>
    <row r="61" spans="1:12" ht="15" x14ac:dyDescent="0.25">
      <c r="A61" s="9"/>
      <c r="B61" s="107" t="s">
        <v>121</v>
      </c>
      <c r="C61" s="37">
        <f>SUM(C49:C60)</f>
        <v>20.710000000000004</v>
      </c>
      <c r="D61" s="37">
        <f t="shared" ref="D61:L61" si="8">SUM(D49:D60)</f>
        <v>20.710000000000004</v>
      </c>
      <c r="E61" s="37">
        <f t="shared" si="8"/>
        <v>22.98</v>
      </c>
      <c r="F61" s="37">
        <f t="shared" si="8"/>
        <v>21.779999999999998</v>
      </c>
      <c r="G61" s="37">
        <f t="shared" si="8"/>
        <v>52.900000000000006</v>
      </c>
      <c r="H61" s="37">
        <f t="shared" si="8"/>
        <v>17.23</v>
      </c>
      <c r="I61" s="37">
        <f t="shared" si="8"/>
        <v>40.79</v>
      </c>
      <c r="J61" s="37">
        <f t="shared" si="8"/>
        <v>22.019999999999996</v>
      </c>
      <c r="K61" s="37">
        <f t="shared" si="8"/>
        <v>27.41</v>
      </c>
      <c r="L61" s="37">
        <f t="shared" si="8"/>
        <v>25.299999999999997</v>
      </c>
    </row>
    <row r="62" spans="1:12" ht="15" x14ac:dyDescent="0.25">
      <c r="A62" s="131"/>
      <c r="B62" s="132"/>
      <c r="C62" s="133"/>
      <c r="D62" s="133"/>
      <c r="E62" s="133"/>
      <c r="F62" s="133"/>
      <c r="G62" s="133"/>
      <c r="H62" s="133"/>
      <c r="I62" s="133"/>
      <c r="J62" s="133"/>
      <c r="K62" s="133"/>
      <c r="L62" s="133"/>
    </row>
    <row r="63" spans="1:12" ht="15" x14ac:dyDescent="0.25">
      <c r="A63" s="9"/>
      <c r="B63" s="107" t="s">
        <v>130</v>
      </c>
      <c r="C63" s="37">
        <f>C50+C51+C52+C53+C54+C55+C56+C58+C59+C60</f>
        <v>4.59</v>
      </c>
      <c r="D63" s="37">
        <f t="shared" ref="D63:L63" si="9">D50+D51+D52+D53+D54+D55+D56+D58+D59+D60</f>
        <v>3.85</v>
      </c>
      <c r="E63" s="37">
        <f t="shared" si="9"/>
        <v>4.8199999999999994</v>
      </c>
      <c r="F63" s="37">
        <f t="shared" si="9"/>
        <v>5.99</v>
      </c>
      <c r="G63" s="37">
        <f t="shared" si="9"/>
        <v>10.44</v>
      </c>
      <c r="H63" s="37">
        <f t="shared" si="9"/>
        <v>4.2600000000000007</v>
      </c>
      <c r="I63" s="37">
        <f t="shared" si="9"/>
        <v>7.37</v>
      </c>
      <c r="J63" s="37">
        <f t="shared" si="9"/>
        <v>7</v>
      </c>
      <c r="K63" s="37">
        <f t="shared" si="9"/>
        <v>6.0500000000000007</v>
      </c>
      <c r="L63" s="37">
        <f t="shared" si="9"/>
        <v>5.92</v>
      </c>
    </row>
    <row r="64" spans="1:12" ht="30" x14ac:dyDescent="0.2">
      <c r="A64" s="9"/>
      <c r="B64" s="72" t="s">
        <v>131</v>
      </c>
      <c r="C64" s="37"/>
      <c r="D64" s="37"/>
      <c r="E64" s="37"/>
      <c r="F64" s="37"/>
      <c r="G64" s="37"/>
      <c r="H64" s="37"/>
      <c r="I64" s="37"/>
      <c r="J64" s="37"/>
      <c r="K64" s="37">
        <v>0.36</v>
      </c>
      <c r="L64" s="37">
        <v>0.36</v>
      </c>
    </row>
    <row r="65" spans="1:14" ht="15" x14ac:dyDescent="0.2">
      <c r="A65" s="9"/>
      <c r="B65" s="72" t="s">
        <v>132</v>
      </c>
      <c r="C65" s="37"/>
      <c r="D65" s="37"/>
      <c r="E65" s="37"/>
      <c r="F65" s="37"/>
      <c r="G65" s="37"/>
      <c r="H65" s="37"/>
      <c r="I65" s="37"/>
      <c r="J65" s="37"/>
      <c r="K65" s="37">
        <v>0.71</v>
      </c>
      <c r="L65" s="37">
        <v>0.71</v>
      </c>
    </row>
    <row r="66" spans="1:14" ht="42.75" x14ac:dyDescent="0.2">
      <c r="A66" s="127"/>
      <c r="B66" s="137" t="s">
        <v>133</v>
      </c>
      <c r="C66" s="127"/>
      <c r="D66" s="127"/>
      <c r="E66" s="127"/>
      <c r="F66" s="127"/>
      <c r="G66" s="127"/>
      <c r="H66" s="127"/>
      <c r="I66" s="127"/>
      <c r="J66" s="127"/>
      <c r="K66" s="128">
        <f>K63+K64+K65</f>
        <v>7.120000000000001</v>
      </c>
      <c r="L66" s="128">
        <f>L63+L64+L65</f>
        <v>6.99</v>
      </c>
    </row>
    <row r="67" spans="1:14" x14ac:dyDescent="0.2">
      <c r="M67" s="138"/>
      <c r="N67" s="138"/>
    </row>
    <row r="68" spans="1:14" s="140" customFormat="1" ht="30" customHeight="1" x14ac:dyDescent="0.2">
      <c r="A68" s="407" t="s">
        <v>134</v>
      </c>
      <c r="B68" s="407"/>
      <c r="C68" s="407"/>
      <c r="D68" s="407"/>
      <c r="E68" s="407"/>
      <c r="F68" s="407"/>
      <c r="G68" s="407"/>
      <c r="H68" s="407"/>
      <c r="I68" s="407"/>
      <c r="J68" s="407"/>
      <c r="K68" s="407"/>
      <c r="L68" s="407"/>
      <c r="M68" s="139"/>
      <c r="N68" s="139"/>
    </row>
    <row r="69" spans="1:14" ht="15" x14ac:dyDescent="0.2">
      <c r="A69" s="407" t="s">
        <v>135</v>
      </c>
      <c r="B69" s="407"/>
      <c r="C69" s="407"/>
      <c r="D69" s="407"/>
      <c r="E69" s="407"/>
      <c r="F69" s="407"/>
      <c r="G69" s="407"/>
      <c r="H69" s="407"/>
      <c r="I69" s="407"/>
      <c r="J69" s="407"/>
      <c r="K69" s="407"/>
      <c r="L69" s="407"/>
    </row>
  </sheetData>
  <mergeCells count="15">
    <mergeCell ref="A69:L69"/>
    <mergeCell ref="B2:L2"/>
    <mergeCell ref="A3:L3"/>
    <mergeCell ref="A4:A5"/>
    <mergeCell ref="B4:B5"/>
    <mergeCell ref="C4:K4"/>
    <mergeCell ref="A25:A26"/>
    <mergeCell ref="B25:B26"/>
    <mergeCell ref="C25:K25"/>
    <mergeCell ref="L25:L26"/>
    <mergeCell ref="A47:A48"/>
    <mergeCell ref="B47:B48"/>
    <mergeCell ref="C47:K47"/>
    <mergeCell ref="L47:L48"/>
    <mergeCell ref="A68:L68"/>
  </mergeCells>
  <hyperlinks>
    <hyperlink ref="B1" location="SATURS!A1" display="ATPAKAĻ uz SATURU" xr:uid="{3D662779-2CD7-478E-9547-B3FAD1850C78}"/>
  </hyperlinks>
  <pageMargins left="0.70866141732283472" right="0.70866141732283472" top="0.74803149606299213" bottom="0.74803149606299213" header="0.31496062992125984" footer="0.31496062992125984"/>
  <pageSetup paperSize="9" scale="40"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6BFD-22FF-4E08-AF1A-963C79FC853D}">
  <dimension ref="A1:F14"/>
  <sheetViews>
    <sheetView topLeftCell="A4" zoomScale="88" zoomScaleNormal="88" workbookViewId="0">
      <selection activeCell="G6" sqref="G6"/>
    </sheetView>
  </sheetViews>
  <sheetFormatPr defaultColWidth="9.140625" defaultRowHeight="15" x14ac:dyDescent="0.25"/>
  <cols>
    <col min="1" max="1" width="22.140625" style="1" customWidth="1"/>
    <col min="2" max="2" width="16.42578125" style="1" customWidth="1"/>
    <col min="3" max="3" width="13.85546875" style="1" customWidth="1"/>
    <col min="4" max="4" width="21.140625" style="1" customWidth="1"/>
    <col min="5" max="5" width="20.7109375" style="1" customWidth="1"/>
    <col min="6" max="6" width="24.42578125" style="1" customWidth="1"/>
    <col min="7" max="16384" width="9.140625" style="1"/>
  </cols>
  <sheetData>
    <row r="1" spans="1:6" ht="15.75" thickBot="1" x14ac:dyDescent="0.3">
      <c r="A1" s="344" t="s">
        <v>324</v>
      </c>
    </row>
    <row r="2" spans="1:6" x14ac:dyDescent="0.25">
      <c r="A2" s="381" t="s">
        <v>136</v>
      </c>
      <c r="B2" s="381"/>
      <c r="C2" s="381"/>
      <c r="D2" s="381"/>
      <c r="E2" s="381"/>
      <c r="F2" s="381"/>
    </row>
    <row r="3" spans="1:6" x14ac:dyDescent="0.25">
      <c r="A3" s="426" t="s">
        <v>137</v>
      </c>
      <c r="B3" s="426"/>
      <c r="C3" s="426"/>
      <c r="D3" s="426"/>
      <c r="E3" s="426"/>
      <c r="F3" s="426"/>
    </row>
    <row r="4" spans="1:6" ht="57" x14ac:dyDescent="0.25">
      <c r="A4" s="115" t="s">
        <v>138</v>
      </c>
      <c r="B4" s="141" t="s">
        <v>139</v>
      </c>
      <c r="C4" s="141" t="s">
        <v>5</v>
      </c>
      <c r="D4" s="141" t="s">
        <v>140</v>
      </c>
      <c r="E4" s="114" t="s">
        <v>141</v>
      </c>
      <c r="F4" s="114" t="s">
        <v>142</v>
      </c>
    </row>
    <row r="5" spans="1:6" x14ac:dyDescent="0.25">
      <c r="A5" s="142">
        <v>1</v>
      </c>
      <c r="B5" s="142">
        <v>2</v>
      </c>
      <c r="C5" s="142">
        <v>3</v>
      </c>
      <c r="D5" s="143" t="s">
        <v>28</v>
      </c>
      <c r="E5" s="142" t="s">
        <v>29</v>
      </c>
      <c r="F5" s="143" t="s">
        <v>143</v>
      </c>
    </row>
    <row r="6" spans="1:6" x14ac:dyDescent="0.25">
      <c r="A6" s="78" t="s">
        <v>144</v>
      </c>
      <c r="B6" s="144">
        <v>20</v>
      </c>
      <c r="C6" s="145">
        <f>'7.2.1. pielikums'!B7</f>
        <v>3</v>
      </c>
      <c r="D6" s="146">
        <f t="shared" ref="D6:D11" si="0">ROUND(C6*213.43,2)</f>
        <v>640.29</v>
      </c>
      <c r="E6" s="146">
        <f t="shared" ref="E6:E11" si="1">ROUND(D6/B6,2)</f>
        <v>32.01</v>
      </c>
      <c r="F6" s="146">
        <f t="shared" ref="F6:F11" si="2">ROUND(E6/252,2)</f>
        <v>0.13</v>
      </c>
    </row>
    <row r="7" spans="1:6" x14ac:dyDescent="0.25">
      <c r="A7" s="78" t="s">
        <v>145</v>
      </c>
      <c r="B7" s="144">
        <v>20</v>
      </c>
      <c r="C7" s="145">
        <f>'7.2.1. pielikums'!B8</f>
        <v>1</v>
      </c>
      <c r="D7" s="146">
        <f t="shared" si="0"/>
        <v>213.43</v>
      </c>
      <c r="E7" s="146">
        <f t="shared" si="1"/>
        <v>10.67</v>
      </c>
      <c r="F7" s="146">
        <f t="shared" si="2"/>
        <v>0.04</v>
      </c>
    </row>
    <row r="8" spans="1:6" x14ac:dyDescent="0.25">
      <c r="A8" s="78" t="s">
        <v>146</v>
      </c>
      <c r="B8" s="144">
        <v>20</v>
      </c>
      <c r="C8" s="145">
        <f>'7.2.1. pielikums'!B9</f>
        <v>2</v>
      </c>
      <c r="D8" s="146">
        <f t="shared" si="0"/>
        <v>426.86</v>
      </c>
      <c r="E8" s="146">
        <f t="shared" si="1"/>
        <v>21.34</v>
      </c>
      <c r="F8" s="146">
        <f t="shared" si="2"/>
        <v>0.08</v>
      </c>
    </row>
    <row r="9" spans="1:6" x14ac:dyDescent="0.25">
      <c r="A9" s="78" t="s">
        <v>2</v>
      </c>
      <c r="B9" s="144">
        <v>20</v>
      </c>
      <c r="C9" s="145">
        <f>'7.2.1. pielikums'!B10</f>
        <v>2</v>
      </c>
      <c r="D9" s="146">
        <f t="shared" si="0"/>
        <v>426.86</v>
      </c>
      <c r="E9" s="146">
        <f t="shared" si="1"/>
        <v>21.34</v>
      </c>
      <c r="F9" s="146">
        <f t="shared" si="2"/>
        <v>0.08</v>
      </c>
    </row>
    <row r="10" spans="1:6" x14ac:dyDescent="0.25">
      <c r="A10" s="78" t="s">
        <v>99</v>
      </c>
      <c r="B10" s="144">
        <v>20</v>
      </c>
      <c r="C10" s="145">
        <f>'7.2.1. pielikums'!B11</f>
        <v>0.5</v>
      </c>
      <c r="D10" s="146">
        <f t="shared" si="0"/>
        <v>106.72</v>
      </c>
      <c r="E10" s="146">
        <f t="shared" si="1"/>
        <v>5.34</v>
      </c>
      <c r="F10" s="146">
        <f t="shared" si="2"/>
        <v>0.02</v>
      </c>
    </row>
    <row r="11" spans="1:6" x14ac:dyDescent="0.25">
      <c r="A11" s="78" t="s">
        <v>147</v>
      </c>
      <c r="B11" s="144">
        <v>20</v>
      </c>
      <c r="C11" s="145">
        <f>'7.2.1. pielikums'!B12</f>
        <v>0.2</v>
      </c>
      <c r="D11" s="146">
        <f t="shared" si="0"/>
        <v>42.69</v>
      </c>
      <c r="E11" s="146">
        <f t="shared" si="1"/>
        <v>2.13</v>
      </c>
      <c r="F11" s="146">
        <f t="shared" si="2"/>
        <v>0.01</v>
      </c>
    </row>
    <row r="12" spans="1:6" x14ac:dyDescent="0.25">
      <c r="A12" s="147" t="s">
        <v>57</v>
      </c>
      <c r="B12" s="148">
        <f>AVERAGE(B6:B11)</f>
        <v>20</v>
      </c>
      <c r="C12" s="149">
        <f>SUM(C6:C11)</f>
        <v>8.6999999999999993</v>
      </c>
      <c r="D12" s="150">
        <f>ROUND(SUM(D6:D11),2)</f>
        <v>1856.85</v>
      </c>
      <c r="E12" s="150">
        <f>ROUND(SUM(E6:E11),2)</f>
        <v>92.83</v>
      </c>
      <c r="F12" s="150">
        <f>ROUND(SUM(F6:F11),2)</f>
        <v>0.36</v>
      </c>
    </row>
    <row r="13" spans="1:6" x14ac:dyDescent="0.25">
      <c r="A13" s="151"/>
      <c r="B13" s="151"/>
      <c r="C13" s="151"/>
      <c r="D13" s="151"/>
      <c r="E13" s="151"/>
      <c r="F13" s="151"/>
    </row>
    <row r="14" spans="1:6" ht="121.5" customHeight="1" x14ac:dyDescent="0.25">
      <c r="A14" s="427" t="s">
        <v>148</v>
      </c>
      <c r="B14" s="427"/>
      <c r="C14" s="427"/>
      <c r="D14" s="427"/>
      <c r="E14" s="427"/>
      <c r="F14" s="427"/>
    </row>
  </sheetData>
  <mergeCells count="3">
    <mergeCell ref="A2:F2"/>
    <mergeCell ref="A3:F3"/>
    <mergeCell ref="A14:F14"/>
  </mergeCells>
  <hyperlinks>
    <hyperlink ref="A1" location="SATURS!A1" display="ATPAKAĻ uz SATURU" xr:uid="{BD38B6FC-8A35-4D0A-BA64-DE604CC4F4D8}"/>
  </hyperlink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28</vt:i4>
      </vt:variant>
    </vt:vector>
  </HeadingPairs>
  <TitlesOfParts>
    <vt:vector size="54" baseType="lpstr">
      <vt:lpstr>SATURS</vt:lpstr>
      <vt:lpstr>7.1.1.pielikums</vt:lpstr>
      <vt:lpstr>7.1.2. pielikums</vt:lpstr>
      <vt:lpstr>7.1.3. pielikums</vt:lpstr>
      <vt:lpstr>7.1.4. pielikums</vt:lpstr>
      <vt:lpstr>7.1.5. pielikums</vt:lpstr>
      <vt:lpstr>7.2.1. pielikums</vt:lpstr>
      <vt:lpstr>7.2.2.. pielikums </vt:lpstr>
      <vt:lpstr>7.2.3.. pielikums</vt:lpstr>
      <vt:lpstr>7.2.4.. pielikums</vt:lpstr>
      <vt:lpstr>7.2.5.. pielikums</vt:lpstr>
      <vt:lpstr>7.3.1. pielikums</vt:lpstr>
      <vt:lpstr>7.3.2.. pielikums</vt:lpstr>
      <vt:lpstr>7.3..3. pielikums</vt:lpstr>
      <vt:lpstr>7.3.4.. pielikums</vt:lpstr>
      <vt:lpstr>7.3.5.. pielikums</vt:lpstr>
      <vt:lpstr>7.3.6.. pielikums</vt:lpstr>
      <vt:lpstr>7.4.1. pielikums</vt:lpstr>
      <vt:lpstr>7.4.2.pielikums</vt:lpstr>
      <vt:lpstr>7.4.3.. pielikums</vt:lpstr>
      <vt:lpstr>7.4.4. pielikums</vt:lpstr>
      <vt:lpstr>7.4.5. pielikums</vt:lpstr>
      <vt:lpstr>7_5_1_pielikums</vt:lpstr>
      <vt:lpstr>7_5_2_pielikums</vt:lpstr>
      <vt:lpstr>7_6_pielikums</vt:lpstr>
      <vt:lpstr>7_7_pielikums </vt:lpstr>
      <vt:lpstr>'7.1.1.pielikums'!Print_Area</vt:lpstr>
      <vt:lpstr>'7.1.2. pielikums'!Print_Area</vt:lpstr>
      <vt:lpstr>'7.1.3. pielikums'!Print_Area</vt:lpstr>
      <vt:lpstr>'7.1.4. pielikums'!Print_Area</vt:lpstr>
      <vt:lpstr>'7.1.5. pielikums'!Print_Area</vt:lpstr>
      <vt:lpstr>'7.2.1. pielikums'!Print_Area</vt:lpstr>
      <vt:lpstr>'7.2.2.. pielikums '!Print_Area</vt:lpstr>
      <vt:lpstr>'7.2.3.. pielikums'!Print_Area</vt:lpstr>
      <vt:lpstr>'7.2.4.. pielikums'!Print_Area</vt:lpstr>
      <vt:lpstr>'7.2.5.. pielikums'!Print_Area</vt:lpstr>
      <vt:lpstr>'7.3..3. pielikums'!Print_Area</vt:lpstr>
      <vt:lpstr>'7.3.1. pielikums'!Print_Area</vt:lpstr>
      <vt:lpstr>'7.3.2.. pielikums'!Print_Area</vt:lpstr>
      <vt:lpstr>'7.3.4.. pielikums'!Print_Area</vt:lpstr>
      <vt:lpstr>'7.3.5.. pielikums'!Print_Area</vt:lpstr>
      <vt:lpstr>'7.3.6.. pielikums'!Print_Area</vt:lpstr>
      <vt:lpstr>'7.4.1. pielikums'!Print_Area</vt:lpstr>
      <vt:lpstr>'7.4.2.pielikums'!Print_Area</vt:lpstr>
      <vt:lpstr>'7.4.3.. pielikums'!Print_Area</vt:lpstr>
      <vt:lpstr>'7.4.4. pielikums'!Print_Area</vt:lpstr>
      <vt:lpstr>'7.4.5. pielikums'!Print_Area</vt:lpstr>
      <vt:lpstr>'7_5_1_pielikums'!Print_Area</vt:lpstr>
      <vt:lpstr>'7_5_2_pielikums'!Print_Area</vt:lpstr>
      <vt:lpstr>'7_6_pielikums'!Print_Area</vt:lpstr>
      <vt:lpstr>'7_7_pielikums '!Print_Area</vt:lpstr>
      <vt:lpstr>'7.2.1. pielikums'!Print_Titles</vt:lpstr>
      <vt:lpstr>'7.3.1. pielikums'!Print_Titles</vt:lpstr>
      <vt:lpstr>'7.4.1.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Lilita Cirule</cp:lastModifiedBy>
  <cp:lastPrinted>2017-08-09T11:20:06Z</cp:lastPrinted>
  <dcterms:created xsi:type="dcterms:W3CDTF">2012-09-03T07:32:21Z</dcterms:created>
  <dcterms:modified xsi:type="dcterms:W3CDTF">2021-02-10T13:13:34Z</dcterms:modified>
</cp:coreProperties>
</file>